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unobastos/Downloads/"/>
    </mc:Choice>
  </mc:AlternateContent>
  <xr:revisionPtr revIDLastSave="0" documentId="8_{8F6F3823-47D5-0E47-8D22-C898ABEAFEA4}" xr6:coauthVersionLast="36" xr6:coauthVersionMax="36" xr10:uidLastSave="{00000000-0000-0000-0000-000000000000}"/>
  <bookViews>
    <workbookView xWindow="0" yWindow="460" windowWidth="28800" windowHeight="16700" tabRatio="653" activeTab="4" xr2:uid="{00000000-000D-0000-FFFF-FFFF00000000}"/>
  </bookViews>
  <sheets>
    <sheet name="Deslocamento" sheetId="15" r:id="rId1"/>
    <sheet name="LISTA SUSPENSAS" sheetId="2" r:id="rId2"/>
    <sheet name="Tabela de dados" sheetId="6" r:id="rId3"/>
    <sheet name="Cenários_objectivo" sheetId="7" r:id="rId4"/>
    <sheet name="Solucionador" sheetId="8" r:id="rId5"/>
    <sheet name="Exercício 22" sheetId="10" r:id="rId6"/>
    <sheet name="Exercício 23" sheetId="11" r:id="rId7"/>
    <sheet name="Exercício 24" sheetId="12" r:id="rId8"/>
    <sheet name="Exercício 25" sheetId="13" r:id="rId9"/>
    <sheet name="Exercício 26 a, b" sheetId="14" r:id="rId10"/>
  </sheets>
  <externalReferences>
    <externalReference r:id="rId11"/>
  </externalReferences>
  <definedNames>
    <definedName name="Itens">OFFSET([1]Folha4!$B$2,0,0,COUNTA([1]Folha4!$B:$B)-1,1)</definedName>
    <definedName name="solver_cvg" localSheetId="4" hidden="1">0.0001</definedName>
    <definedName name="solver_drv" localSheetId="4" hidden="1">2</definedName>
    <definedName name="solver_eng" localSheetId="4" hidden="1">1</definedName>
    <definedName name="solver_itr" localSheetId="4" hidden="1">2147483647</definedName>
    <definedName name="solver_lhs1" localSheetId="4" hidden="1">Solucionador!$E$11</definedName>
    <definedName name="solver_lhs2" localSheetId="4" hidden="1">Solucionador!$E$12</definedName>
    <definedName name="solver_lhs3" localSheetId="4" hidden="1">Solucionador!$G$10</definedName>
    <definedName name="solver_lin" localSheetId="4" hidden="1">2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2</definedName>
    <definedName name="solver_nod" localSheetId="4" hidden="1">2147483647</definedName>
    <definedName name="solver_num" localSheetId="4" hidden="1">0</definedName>
    <definedName name="solver_pre" localSheetId="4" hidden="1">0.000001</definedName>
    <definedName name="solver_rbv" localSheetId="4" hidden="1">2</definedName>
    <definedName name="solver_rel1" localSheetId="4" hidden="1">1</definedName>
    <definedName name="solver_rel2" localSheetId="4" hidden="1">1</definedName>
    <definedName name="solver_rel3" localSheetId="4" hidden="1">1</definedName>
    <definedName name="solver_rhs1" localSheetId="4" hidden="1">Solucionador!$G$11</definedName>
    <definedName name="solver_rhs2" localSheetId="4" hidden="1">Solucionador!$G$12</definedName>
    <definedName name="solver_rhs3" localSheetId="4" hidden="1">Solucionador!$G$10</definedName>
    <definedName name="solver_rlx" localSheetId="4" hidden="1">2</definedName>
    <definedName name="solver_rsd" localSheetId="4" hidden="1">0</definedName>
    <definedName name="solver_scl" localSheetId="4" hidden="1">2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5" l="1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G54" i="14"/>
  <c r="F6" i="14"/>
  <c r="G6" i="14"/>
  <c r="D7" i="14"/>
  <c r="D8" i="14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E54" i="14" s="1"/>
  <c r="E6" i="14"/>
  <c r="E7" i="14"/>
  <c r="E8" i="14" s="1"/>
  <c r="E9" i="14" s="1"/>
  <c r="E10" i="14" s="1"/>
  <c r="E11" i="14" s="1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H3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E6" i="13"/>
  <c r="D7" i="13"/>
  <c r="D8" i="13"/>
  <c r="D9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D70" i="13" s="1"/>
  <c r="D71" i="13" s="1"/>
  <c r="D72" i="13" s="1"/>
  <c r="D73" i="13" s="1"/>
  <c r="D74" i="13" s="1"/>
  <c r="D75" i="13" s="1"/>
  <c r="D76" i="13" s="1"/>
  <c r="D77" i="13" s="1"/>
  <c r="D78" i="13" s="1"/>
  <c r="D79" i="13" s="1"/>
  <c r="D80" i="13" s="1"/>
  <c r="D81" i="13" s="1"/>
  <c r="D82" i="13" s="1"/>
  <c r="D83" i="13" s="1"/>
  <c r="D84" i="13" s="1"/>
  <c r="D85" i="13" s="1"/>
  <c r="D86" i="13" s="1"/>
  <c r="D87" i="13" s="1"/>
  <c r="D88" i="13" s="1"/>
  <c r="D89" i="13" s="1"/>
  <c r="D90" i="13" s="1"/>
  <c r="D91" i="13" s="1"/>
  <c r="D92" i="13" s="1"/>
  <c r="D93" i="13" s="1"/>
  <c r="D94" i="13" s="1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D106" i="13" s="1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3" i="13" s="1"/>
  <c r="D124" i="13" s="1"/>
  <c r="D125" i="13" s="1"/>
  <c r="D126" i="13" s="1"/>
  <c r="D127" i="13" s="1"/>
  <c r="D128" i="13" s="1"/>
  <c r="D129" i="13" s="1"/>
  <c r="D130" i="13" s="1"/>
  <c r="D131" i="13" s="1"/>
  <c r="D132" i="13" s="1"/>
  <c r="D133" i="13" s="1"/>
  <c r="D134" i="13" s="1"/>
  <c r="D135" i="13" s="1"/>
  <c r="D136" i="13" s="1"/>
  <c r="D137" i="13" s="1"/>
  <c r="D138" i="13" s="1"/>
  <c r="D139" i="13" s="1"/>
  <c r="D140" i="13" s="1"/>
  <c r="D141" i="13" s="1"/>
  <c r="D142" i="13" s="1"/>
  <c r="D143" i="13" s="1"/>
  <c r="D144" i="13" s="1"/>
  <c r="D145" i="13" s="1"/>
  <c r="D146" i="13" s="1"/>
  <c r="D147" i="13" s="1"/>
  <c r="D148" i="13" s="1"/>
  <c r="D149" i="13" s="1"/>
  <c r="D150" i="13" s="1"/>
  <c r="D151" i="13" s="1"/>
  <c r="D152" i="13" s="1"/>
  <c r="D153" i="13" s="1"/>
  <c r="D154" i="13" s="1"/>
  <c r="D155" i="13" s="1"/>
  <c r="D156" i="13" s="1"/>
  <c r="D157" i="13" s="1"/>
  <c r="D158" i="13" s="1"/>
  <c r="D159" i="13" s="1"/>
  <c r="D160" i="13" s="1"/>
  <c r="D161" i="13" s="1"/>
  <c r="D162" i="13" s="1"/>
  <c r="D163" i="13" s="1"/>
  <c r="D164" i="13" s="1"/>
  <c r="D165" i="13" s="1"/>
  <c r="D166" i="13" s="1"/>
  <c r="D167" i="13" s="1"/>
  <c r="D168" i="13" s="1"/>
  <c r="D169" i="13" s="1"/>
  <c r="D170" i="13" s="1"/>
  <c r="D171" i="13" s="1"/>
  <c r="D172" i="13" s="1"/>
  <c r="D173" i="13" s="1"/>
  <c r="D174" i="13" s="1"/>
  <c r="D175" i="13" s="1"/>
  <c r="D176" i="13" s="1"/>
  <c r="D177" i="13" s="1"/>
  <c r="D178" i="13" s="1"/>
  <c r="D179" i="13" s="1"/>
  <c r="D180" i="13" s="1"/>
  <c r="D181" i="13" s="1"/>
  <c r="D182" i="13" s="1"/>
  <c r="D183" i="13" s="1"/>
  <c r="D184" i="13" s="1"/>
  <c r="D185" i="13" s="1"/>
  <c r="D186" i="13" s="1"/>
  <c r="D187" i="13" s="1"/>
  <c r="D188" i="13" s="1"/>
  <c r="D189" i="13" s="1"/>
  <c r="D190" i="13" s="1"/>
  <c r="D191" i="13" s="1"/>
  <c r="D192" i="13" s="1"/>
  <c r="D193" i="13" s="1"/>
  <c r="D194" i="13" s="1"/>
  <c r="D195" i="13" s="1"/>
  <c r="D196" i="13" s="1"/>
  <c r="D197" i="13" s="1"/>
  <c r="D198" i="13" s="1"/>
  <c r="D199" i="13" s="1"/>
  <c r="D200" i="13" s="1"/>
  <c r="D201" i="13" s="1"/>
  <c r="D202" i="13" s="1"/>
  <c r="D203" i="13" s="1"/>
  <c r="D204" i="13" s="1"/>
  <c r="D205" i="13" s="1"/>
  <c r="D206" i="13" s="1"/>
  <c r="D207" i="13" s="1"/>
  <c r="D208" i="13" s="1"/>
  <c r="D209" i="13" s="1"/>
  <c r="D210" i="13" s="1"/>
  <c r="D211" i="13" s="1"/>
  <c r="D212" i="13" s="1"/>
  <c r="D213" i="13" s="1"/>
  <c r="D214" i="13" s="1"/>
  <c r="D215" i="13" s="1"/>
  <c r="D216" i="13" s="1"/>
  <c r="D217" i="13" s="1"/>
  <c r="D218" i="13" s="1"/>
  <c r="D219" i="13" s="1"/>
  <c r="D220" i="13" s="1"/>
  <c r="D221" i="13" s="1"/>
  <c r="D222" i="13" s="1"/>
  <c r="D223" i="13" s="1"/>
  <c r="D224" i="13" s="1"/>
  <c r="D225" i="13" s="1"/>
  <c r="D226" i="13" s="1"/>
  <c r="D227" i="13" s="1"/>
  <c r="D228" i="13" s="1"/>
  <c r="D229" i="13" s="1"/>
  <c r="D230" i="13" s="1"/>
  <c r="D231" i="13" s="1"/>
  <c r="D232" i="13" s="1"/>
  <c r="D233" i="13" s="1"/>
  <c r="D234" i="13" s="1"/>
  <c r="D235" i="13" s="1"/>
  <c r="D236" i="13" s="1"/>
  <c r="D237" i="13" s="1"/>
  <c r="D238" i="13" s="1"/>
  <c r="D239" i="13" s="1"/>
  <c r="D240" i="13" s="1"/>
  <c r="D241" i="13" s="1"/>
  <c r="D242" i="13" s="1"/>
  <c r="D243" i="13" s="1"/>
  <c r="D244" i="13" s="1"/>
  <c r="D245" i="13" s="1"/>
  <c r="H34" i="12"/>
  <c r="H35" i="12"/>
  <c r="H36" i="12"/>
  <c r="H37" i="12"/>
  <c r="H38" i="12"/>
  <c r="H39" i="12"/>
  <c r="H40" i="12"/>
  <c r="G34" i="12"/>
  <c r="E34" i="12"/>
  <c r="E35" i="12" s="1"/>
  <c r="H20" i="12"/>
  <c r="H21" i="12"/>
  <c r="E20" i="12"/>
  <c r="E21" i="12" s="1"/>
  <c r="E22" i="12" s="1"/>
  <c r="E6" i="12"/>
  <c r="F6" i="12" s="1"/>
  <c r="H8" i="12"/>
  <c r="H9" i="12"/>
  <c r="H10" i="12"/>
  <c r="H11" i="12"/>
  <c r="H12" i="12"/>
  <c r="H13" i="12"/>
  <c r="E6" i="11"/>
  <c r="F6" i="11" s="1"/>
  <c r="G6" i="11"/>
  <c r="E7" i="11" s="1"/>
  <c r="G7" i="11"/>
  <c r="G8" i="11"/>
  <c r="G9" i="11"/>
  <c r="G10" i="11"/>
  <c r="G11" i="11"/>
  <c r="H6" i="10"/>
  <c r="G6" i="10" s="1"/>
  <c r="H7" i="10"/>
  <c r="H8" i="10"/>
  <c r="H9" i="10"/>
  <c r="H10" i="10"/>
  <c r="H11" i="10"/>
  <c r="H12" i="10"/>
  <c r="E6" i="10"/>
  <c r="F6" i="10"/>
  <c r="E7" i="8"/>
  <c r="E12" i="8"/>
  <c r="E11" i="8"/>
  <c r="E10" i="8"/>
  <c r="K3" i="7"/>
  <c r="K12" i="7" s="1"/>
  <c r="K4" i="7"/>
  <c r="L4" i="7" s="1"/>
  <c r="K5" i="7"/>
  <c r="L5" i="7" s="1"/>
  <c r="K6" i="7"/>
  <c r="L6" i="7" s="1"/>
  <c r="K7" i="7"/>
  <c r="L7" i="7" s="1"/>
  <c r="E12" i="7"/>
  <c r="D12" i="7"/>
  <c r="G7" i="7"/>
  <c r="J7" i="7" s="1"/>
  <c r="I7" i="7"/>
  <c r="G6" i="7"/>
  <c r="I6" i="7" s="1"/>
  <c r="J6" i="7"/>
  <c r="G5" i="7"/>
  <c r="J5" i="7" s="1"/>
  <c r="G4" i="7"/>
  <c r="J4" i="7"/>
  <c r="I4" i="7"/>
  <c r="G3" i="7"/>
  <c r="J3" i="7" s="1"/>
  <c r="I3" i="7"/>
  <c r="C8" i="6"/>
  <c r="O11" i="2"/>
  <c r="O10" i="2"/>
  <c r="K6" i="2"/>
  <c r="E8" i="11" l="1"/>
  <c r="F7" i="11"/>
  <c r="H7" i="11" s="1"/>
  <c r="H6" i="11"/>
  <c r="E7" i="10"/>
  <c r="H6" i="12"/>
  <c r="H22" i="12"/>
  <c r="H26" i="12"/>
  <c r="H23" i="12"/>
  <c r="H27" i="12"/>
  <c r="H24" i="12"/>
  <c r="H25" i="12"/>
  <c r="F22" i="12"/>
  <c r="H28" i="12"/>
  <c r="I5" i="7"/>
  <c r="L3" i="7"/>
  <c r="L12" i="7" s="1"/>
  <c r="G12" i="11"/>
  <c r="E7" i="12"/>
  <c r="F35" i="12"/>
  <c r="F6" i="13"/>
  <c r="H6" i="14"/>
  <c r="H246" i="13"/>
  <c r="G6" i="13"/>
  <c r="E8" i="12" l="1"/>
  <c r="F7" i="12"/>
  <c r="E9" i="11"/>
  <c r="F8" i="11"/>
  <c r="H8" i="11" s="1"/>
  <c r="E7" i="13"/>
  <c r="G22" i="12"/>
  <c r="F7" i="10"/>
  <c r="F7" i="14"/>
  <c r="G35" i="12"/>
  <c r="F7" i="13" l="1"/>
  <c r="H7" i="12"/>
  <c r="H14" i="12" s="1"/>
  <c r="E36" i="12"/>
  <c r="G7" i="10"/>
  <c r="G7" i="14"/>
  <c r="E23" i="12"/>
  <c r="E10" i="11"/>
  <c r="F9" i="11"/>
  <c r="F8" i="12"/>
  <c r="G8" i="12" s="1"/>
  <c r="E9" i="12"/>
  <c r="F9" i="12" l="1"/>
  <c r="E8" i="10"/>
  <c r="H9" i="11"/>
  <c r="F36" i="12"/>
  <c r="G7" i="13"/>
  <c r="F23" i="12"/>
  <c r="H7" i="14"/>
  <c r="E11" i="11"/>
  <c r="F10" i="11"/>
  <c r="H10" i="11" s="1"/>
  <c r="G23" i="12" l="1"/>
  <c r="E12" i="11"/>
  <c r="F11" i="11"/>
  <c r="H11" i="11" s="1"/>
  <c r="H12" i="11" s="1"/>
  <c r="G36" i="12"/>
  <c r="F8" i="14"/>
  <c r="F8" i="10"/>
  <c r="E8" i="13"/>
  <c r="G9" i="12"/>
  <c r="E10" i="12" l="1"/>
  <c r="G8" i="10"/>
  <c r="G8" i="14"/>
  <c r="E24" i="12"/>
  <c r="F8" i="13"/>
  <c r="F12" i="11"/>
  <c r="E37" i="12"/>
  <c r="E9" i="10" l="1"/>
  <c r="G8" i="13"/>
  <c r="F10" i="12"/>
  <c r="F24" i="12"/>
  <c r="F37" i="12"/>
  <c r="H8" i="14"/>
  <c r="G24" i="12" l="1"/>
  <c r="G10" i="12"/>
  <c r="F9" i="10"/>
  <c r="F9" i="14"/>
  <c r="E9" i="13"/>
  <c r="G37" i="12"/>
  <c r="E11" i="12" l="1"/>
  <c r="G9" i="14"/>
  <c r="F9" i="13"/>
  <c r="G9" i="10"/>
  <c r="E38" i="12"/>
  <c r="E25" i="12"/>
  <c r="H9" i="14" l="1"/>
  <c r="F25" i="12"/>
  <c r="E10" i="10"/>
  <c r="F38" i="12"/>
  <c r="F11" i="12"/>
  <c r="G9" i="13"/>
  <c r="G38" i="12" l="1"/>
  <c r="G25" i="12"/>
  <c r="E10" i="13"/>
  <c r="G11" i="12"/>
  <c r="F10" i="10"/>
  <c r="F10" i="14"/>
  <c r="E26" i="12" l="1"/>
  <c r="G10" i="14"/>
  <c r="E12" i="12"/>
  <c r="F10" i="13"/>
  <c r="G10" i="13" s="1"/>
  <c r="E11" i="13" s="1"/>
  <c r="G10" i="10"/>
  <c r="E39" i="12"/>
  <c r="F11" i="13" l="1"/>
  <c r="G11" i="13" s="1"/>
  <c r="E12" i="13" s="1"/>
  <c r="F39" i="12"/>
  <c r="H10" i="14"/>
  <c r="F11" i="14" s="1"/>
  <c r="F12" i="12"/>
  <c r="G12" i="12" s="1"/>
  <c r="E13" i="12"/>
  <c r="F26" i="12"/>
  <c r="G26" i="12" s="1"/>
  <c r="E11" i="10"/>
  <c r="F12" i="13" l="1"/>
  <c r="G12" i="13" s="1"/>
  <c r="E13" i="13" s="1"/>
  <c r="F11" i="10"/>
  <c r="G39" i="12"/>
  <c r="F40" i="12"/>
  <c r="F13" i="12"/>
  <c r="E27" i="12"/>
  <c r="G11" i="14"/>
  <c r="H11" i="14" s="1"/>
  <c r="F12" i="14" s="1"/>
  <c r="G12" i="14" l="1"/>
  <c r="H12" i="14" s="1"/>
  <c r="F13" i="14" s="1"/>
  <c r="F13" i="13"/>
  <c r="G13" i="13" s="1"/>
  <c r="E14" i="13" s="1"/>
  <c r="G11" i="10"/>
  <c r="F12" i="10"/>
  <c r="G13" i="12"/>
  <c r="F14" i="12"/>
  <c r="F27" i="12"/>
  <c r="G40" i="12"/>
  <c r="E40" i="12"/>
  <c r="F14" i="13" l="1"/>
  <c r="G14" i="13" s="1"/>
  <c r="E15" i="13"/>
  <c r="G13" i="14"/>
  <c r="H13" i="14" s="1"/>
  <c r="F14" i="14" s="1"/>
  <c r="G14" i="12"/>
  <c r="E14" i="12"/>
  <c r="G27" i="12"/>
  <c r="F28" i="12"/>
  <c r="G12" i="10"/>
  <c r="E12" i="10"/>
  <c r="G14" i="14" l="1"/>
  <c r="H14" i="14" s="1"/>
  <c r="F15" i="14" s="1"/>
  <c r="G28" i="12"/>
  <c r="E28" i="12"/>
  <c r="F15" i="13"/>
  <c r="G15" i="13" s="1"/>
  <c r="E16" i="13" s="1"/>
  <c r="F16" i="13" l="1"/>
  <c r="G16" i="13" s="1"/>
  <c r="E17" i="13" s="1"/>
  <c r="G15" i="14"/>
  <c r="H15" i="14" s="1"/>
  <c r="F16" i="14" s="1"/>
  <c r="G16" i="14" l="1"/>
  <c r="H16" i="14" s="1"/>
  <c r="F17" i="14"/>
  <c r="F17" i="13"/>
  <c r="G17" i="13" s="1"/>
  <c r="E18" i="13" s="1"/>
  <c r="F18" i="13" l="1"/>
  <c r="G18" i="13" s="1"/>
  <c r="E19" i="13" s="1"/>
  <c r="G17" i="14"/>
  <c r="H17" i="14" s="1"/>
  <c r="F18" i="14"/>
  <c r="E20" i="13" l="1"/>
  <c r="F19" i="13"/>
  <c r="G19" i="13" s="1"/>
  <c r="G18" i="14"/>
  <c r="H18" i="14" s="1"/>
  <c r="F19" i="14" s="1"/>
  <c r="G19" i="14" l="1"/>
  <c r="H19" i="14" s="1"/>
  <c r="F20" i="14" s="1"/>
  <c r="F20" i="13"/>
  <c r="G20" i="13" s="1"/>
  <c r="E21" i="13" s="1"/>
  <c r="F21" i="13" l="1"/>
  <c r="G21" i="13" s="1"/>
  <c r="E22" i="13" s="1"/>
  <c r="G20" i="14"/>
  <c r="H20" i="14" s="1"/>
  <c r="F21" i="14"/>
  <c r="F22" i="13" l="1"/>
  <c r="G22" i="13" s="1"/>
  <c r="E23" i="13"/>
  <c r="G21" i="14"/>
  <c r="H21" i="14" s="1"/>
  <c r="F22" i="14" s="1"/>
  <c r="G22" i="14" l="1"/>
  <c r="H22" i="14" s="1"/>
  <c r="F23" i="14" s="1"/>
  <c r="F23" i="13"/>
  <c r="G23" i="13" s="1"/>
  <c r="E24" i="13" s="1"/>
  <c r="F24" i="13" l="1"/>
  <c r="G24" i="13" s="1"/>
  <c r="E25" i="13" s="1"/>
  <c r="G23" i="14"/>
  <c r="H23" i="14" s="1"/>
  <c r="F24" i="14" s="1"/>
  <c r="G24" i="14" l="1"/>
  <c r="H24" i="14" s="1"/>
  <c r="F25" i="14" s="1"/>
  <c r="F25" i="13"/>
  <c r="G25" i="13" s="1"/>
  <c r="E26" i="13"/>
  <c r="G25" i="14" l="1"/>
  <c r="H25" i="14" s="1"/>
  <c r="F26" i="14"/>
  <c r="F26" i="13"/>
  <c r="G26" i="13" s="1"/>
  <c r="E27" i="13" s="1"/>
  <c r="F27" i="13" l="1"/>
  <c r="G27" i="13" s="1"/>
  <c r="E28" i="13" s="1"/>
  <c r="G26" i="14"/>
  <c r="H26" i="14" s="1"/>
  <c r="F27" i="14" s="1"/>
  <c r="G27" i="14" l="1"/>
  <c r="H27" i="14" s="1"/>
  <c r="F28" i="14" s="1"/>
  <c r="F28" i="13"/>
  <c r="G28" i="13" s="1"/>
  <c r="E29" i="13" s="1"/>
  <c r="F29" i="13" l="1"/>
  <c r="G29" i="13" s="1"/>
  <c r="E30" i="13"/>
  <c r="G28" i="14"/>
  <c r="H28" i="14" s="1"/>
  <c r="F29" i="14"/>
  <c r="F30" i="13" l="1"/>
  <c r="G30" i="13" s="1"/>
  <c r="E31" i="13" s="1"/>
  <c r="G29" i="14"/>
  <c r="H29" i="14" s="1"/>
  <c r="F30" i="14"/>
  <c r="F31" i="13" l="1"/>
  <c r="G31" i="13" s="1"/>
  <c r="E32" i="13" s="1"/>
  <c r="G30" i="14"/>
  <c r="H30" i="14" s="1"/>
  <c r="F31" i="14" s="1"/>
  <c r="G31" i="14" l="1"/>
  <c r="H31" i="14" s="1"/>
  <c r="F32" i="14" s="1"/>
  <c r="F32" i="13"/>
  <c r="G32" i="13" s="1"/>
  <c r="E33" i="13" s="1"/>
  <c r="F33" i="13" l="1"/>
  <c r="G33" i="13" s="1"/>
  <c r="E34" i="13" s="1"/>
  <c r="G32" i="14"/>
  <c r="H32" i="14" s="1"/>
  <c r="F33" i="14" s="1"/>
  <c r="G33" i="14" l="1"/>
  <c r="H33" i="14" s="1"/>
  <c r="F34" i="14"/>
  <c r="F34" i="13"/>
  <c r="G34" i="13" s="1"/>
  <c r="E35" i="13"/>
  <c r="G34" i="14" l="1"/>
  <c r="H34" i="14" s="1"/>
  <c r="F35" i="14" s="1"/>
  <c r="F35" i="13"/>
  <c r="G35" i="13" s="1"/>
  <c r="E36" i="13" s="1"/>
  <c r="F36" i="13" l="1"/>
  <c r="G36" i="13" s="1"/>
  <c r="E37" i="13" s="1"/>
  <c r="G35" i="14"/>
  <c r="H35" i="14" s="1"/>
  <c r="F36" i="14" s="1"/>
  <c r="G36" i="14" l="1"/>
  <c r="H36" i="14" s="1"/>
  <c r="F37" i="14"/>
  <c r="F37" i="13"/>
  <c r="G37" i="13" s="1"/>
  <c r="E38" i="13" s="1"/>
  <c r="F38" i="13" l="1"/>
  <c r="G38" i="13" s="1"/>
  <c r="E39" i="13" s="1"/>
  <c r="G37" i="14"/>
  <c r="H37" i="14" s="1"/>
  <c r="F38" i="14"/>
  <c r="F39" i="13" l="1"/>
  <c r="G39" i="13" s="1"/>
  <c r="E40" i="13" s="1"/>
  <c r="G38" i="14"/>
  <c r="H38" i="14" s="1"/>
  <c r="F39" i="14" s="1"/>
  <c r="G39" i="14" l="1"/>
  <c r="H39" i="14" s="1"/>
  <c r="F40" i="14" s="1"/>
  <c r="F40" i="13"/>
  <c r="G40" i="13" s="1"/>
  <c r="E41" i="13"/>
  <c r="G40" i="14" l="1"/>
  <c r="H40" i="14" s="1"/>
  <c r="F41" i="14" s="1"/>
  <c r="F41" i="13"/>
  <c r="G41" i="13" s="1"/>
  <c r="E42" i="13" s="1"/>
  <c r="G41" i="14" l="1"/>
  <c r="H41" i="14" s="1"/>
  <c r="F42" i="14" s="1"/>
  <c r="F42" i="13"/>
  <c r="G42" i="13" s="1"/>
  <c r="E43" i="13" s="1"/>
  <c r="F43" i="13" l="1"/>
  <c r="G43" i="13" s="1"/>
  <c r="E44" i="13"/>
  <c r="G42" i="14"/>
  <c r="H42" i="14" s="1"/>
  <c r="F43" i="14" s="1"/>
  <c r="G43" i="14" l="1"/>
  <c r="H43" i="14" s="1"/>
  <c r="F44" i="14" s="1"/>
  <c r="F44" i="13"/>
  <c r="G44" i="13" s="1"/>
  <c r="E45" i="13" s="1"/>
  <c r="F45" i="13" l="1"/>
  <c r="G45" i="13" s="1"/>
  <c r="E46" i="13" s="1"/>
  <c r="G44" i="14"/>
  <c r="H44" i="14" s="1"/>
  <c r="F45" i="14" s="1"/>
  <c r="G45" i="14" l="1"/>
  <c r="H45" i="14" s="1"/>
  <c r="F46" i="14" s="1"/>
  <c r="F46" i="13"/>
  <c r="G46" i="13" s="1"/>
  <c r="E47" i="13" s="1"/>
  <c r="G46" i="14" l="1"/>
  <c r="H46" i="14" s="1"/>
  <c r="F47" i="14" s="1"/>
  <c r="F47" i="13"/>
  <c r="G47" i="13" s="1"/>
  <c r="E48" i="13"/>
  <c r="G47" i="14" l="1"/>
  <c r="H47" i="14" s="1"/>
  <c r="F48" i="14" s="1"/>
  <c r="F48" i="13"/>
  <c r="G48" i="13" s="1"/>
  <c r="E49" i="13" s="1"/>
  <c r="F49" i="13" l="1"/>
  <c r="G49" i="13" s="1"/>
  <c r="E50" i="13" s="1"/>
  <c r="G48" i="14"/>
  <c r="H48" i="14" s="1"/>
  <c r="F49" i="14"/>
  <c r="F50" i="13" l="1"/>
  <c r="G50" i="13" s="1"/>
  <c r="E51" i="13"/>
  <c r="G49" i="14"/>
  <c r="H49" i="14" s="1"/>
  <c r="F50" i="14" s="1"/>
  <c r="G50" i="14" l="1"/>
  <c r="H50" i="14" s="1"/>
  <c r="F51" i="14" s="1"/>
  <c r="F51" i="13"/>
  <c r="G51" i="13" s="1"/>
  <c r="E52" i="13"/>
  <c r="G51" i="14" l="1"/>
  <c r="H51" i="14" s="1"/>
  <c r="F52" i="14" s="1"/>
  <c r="F52" i="13"/>
  <c r="G52" i="13" s="1"/>
  <c r="E53" i="13"/>
  <c r="G52" i="14" l="1"/>
  <c r="H52" i="14" s="1"/>
  <c r="F53" i="14" s="1"/>
  <c r="F53" i="13"/>
  <c r="G53" i="13" s="1"/>
  <c r="E54" i="13" s="1"/>
  <c r="F54" i="13" l="1"/>
  <c r="G54" i="13" s="1"/>
  <c r="E55" i="13"/>
  <c r="G53" i="14"/>
  <c r="H53" i="14" l="1"/>
  <c r="F54" i="14" s="1"/>
  <c r="G55" i="14"/>
  <c r="F55" i="13"/>
  <c r="G55" i="13" s="1"/>
  <c r="E56" i="13"/>
  <c r="F56" i="13" l="1"/>
  <c r="G56" i="13" s="1"/>
  <c r="E57" i="13" s="1"/>
  <c r="F55" i="14"/>
  <c r="H54" i="14"/>
  <c r="F57" i="13" l="1"/>
  <c r="G57" i="13" s="1"/>
  <c r="E58" i="13" s="1"/>
  <c r="I54" i="14"/>
  <c r="I55" i="14" s="1"/>
  <c r="H55" i="14"/>
  <c r="F58" i="13" l="1"/>
  <c r="G58" i="13" s="1"/>
  <c r="E59" i="13" s="1"/>
  <c r="F59" i="13" l="1"/>
  <c r="G59" i="13" s="1"/>
  <c r="E60" i="13"/>
  <c r="F60" i="13" l="1"/>
  <c r="G60" i="13" s="1"/>
  <c r="E61" i="13" s="1"/>
  <c r="F61" i="13" l="1"/>
  <c r="G61" i="13" s="1"/>
  <c r="E62" i="13" s="1"/>
  <c r="F62" i="13" l="1"/>
  <c r="G62" i="13" s="1"/>
  <c r="E63" i="13" s="1"/>
  <c r="F63" i="13" l="1"/>
  <c r="G63" i="13" s="1"/>
  <c r="E64" i="13" s="1"/>
  <c r="F64" i="13" l="1"/>
  <c r="G64" i="13" s="1"/>
  <c r="E65" i="13"/>
  <c r="F65" i="13" l="1"/>
  <c r="G65" i="13" s="1"/>
  <c r="E66" i="13" s="1"/>
  <c r="F66" i="13" l="1"/>
  <c r="G66" i="13" s="1"/>
  <c r="E67" i="13" s="1"/>
  <c r="F67" i="13" l="1"/>
  <c r="G67" i="13" s="1"/>
  <c r="E68" i="13" s="1"/>
  <c r="F68" i="13" l="1"/>
  <c r="G68" i="13" s="1"/>
  <c r="E69" i="13" s="1"/>
  <c r="F69" i="13" l="1"/>
  <c r="G69" i="13" s="1"/>
  <c r="E70" i="13" s="1"/>
  <c r="F70" i="13" l="1"/>
  <c r="G70" i="13" s="1"/>
  <c r="E71" i="13" s="1"/>
  <c r="F71" i="13" l="1"/>
  <c r="G71" i="13" s="1"/>
  <c r="E72" i="13" s="1"/>
  <c r="F72" i="13" l="1"/>
  <c r="G72" i="13" s="1"/>
  <c r="E73" i="13" s="1"/>
  <c r="F73" i="13" l="1"/>
  <c r="G73" i="13" s="1"/>
  <c r="E74" i="13" s="1"/>
  <c r="F74" i="13" l="1"/>
  <c r="G74" i="13" s="1"/>
  <c r="E75" i="13" s="1"/>
  <c r="F75" i="13" l="1"/>
  <c r="G75" i="13" s="1"/>
  <c r="E76" i="13"/>
  <c r="F76" i="13" l="1"/>
  <c r="G76" i="13" s="1"/>
  <c r="E77" i="13" s="1"/>
  <c r="F77" i="13" l="1"/>
  <c r="G77" i="13" s="1"/>
  <c r="E78" i="13" s="1"/>
  <c r="F78" i="13" l="1"/>
  <c r="G78" i="13" s="1"/>
  <c r="E79" i="13" s="1"/>
  <c r="F79" i="13" l="1"/>
  <c r="G79" i="13" s="1"/>
  <c r="E80" i="13" s="1"/>
  <c r="F80" i="13" l="1"/>
  <c r="G80" i="13" s="1"/>
  <c r="E81" i="13" s="1"/>
  <c r="F81" i="13" l="1"/>
  <c r="G81" i="13" s="1"/>
  <c r="E82" i="13" s="1"/>
  <c r="F82" i="13" l="1"/>
  <c r="G82" i="13" s="1"/>
  <c r="E83" i="13" s="1"/>
  <c r="F83" i="13" l="1"/>
  <c r="G83" i="13" s="1"/>
  <c r="E84" i="13" s="1"/>
  <c r="F84" i="13" l="1"/>
  <c r="G84" i="13" s="1"/>
  <c r="E85" i="13" s="1"/>
  <c r="F85" i="13" l="1"/>
  <c r="G85" i="13" s="1"/>
  <c r="E86" i="13" s="1"/>
  <c r="F86" i="13" l="1"/>
  <c r="G86" i="13" s="1"/>
  <c r="E87" i="13" s="1"/>
  <c r="F87" i="13" l="1"/>
  <c r="G87" i="13" s="1"/>
  <c r="E88" i="13" s="1"/>
  <c r="F88" i="13" l="1"/>
  <c r="G88" i="13" s="1"/>
  <c r="E89" i="13"/>
  <c r="F89" i="13" l="1"/>
  <c r="G89" i="13" s="1"/>
  <c r="E90" i="13" s="1"/>
  <c r="F90" i="13" l="1"/>
  <c r="G90" i="13" s="1"/>
  <c r="E91" i="13" s="1"/>
  <c r="F91" i="13" l="1"/>
  <c r="G91" i="13" s="1"/>
  <c r="E92" i="13" s="1"/>
  <c r="F92" i="13" l="1"/>
  <c r="G92" i="13" s="1"/>
  <c r="E93" i="13" s="1"/>
  <c r="F93" i="13" l="1"/>
  <c r="G93" i="13" s="1"/>
  <c r="E94" i="13" s="1"/>
  <c r="F94" i="13" l="1"/>
  <c r="G94" i="13" s="1"/>
  <c r="E95" i="13" s="1"/>
  <c r="F95" i="13" l="1"/>
  <c r="G95" i="13" s="1"/>
  <c r="E96" i="13"/>
  <c r="F96" i="13" l="1"/>
  <c r="G96" i="13" s="1"/>
  <c r="E97" i="13" s="1"/>
  <c r="F97" i="13" l="1"/>
  <c r="G97" i="13" s="1"/>
  <c r="E98" i="13" s="1"/>
  <c r="F98" i="13" l="1"/>
  <c r="G98" i="13" s="1"/>
  <c r="E99" i="13" s="1"/>
  <c r="F99" i="13" l="1"/>
  <c r="G99" i="13" s="1"/>
  <c r="E100" i="13" s="1"/>
  <c r="F100" i="13" l="1"/>
  <c r="G100" i="13" s="1"/>
  <c r="E101" i="13" s="1"/>
  <c r="F101" i="13" l="1"/>
  <c r="G101" i="13" s="1"/>
  <c r="E102" i="13" s="1"/>
  <c r="F102" i="13" l="1"/>
  <c r="G102" i="13" s="1"/>
  <c r="E103" i="13"/>
  <c r="F103" i="13" l="1"/>
  <c r="G103" i="13" s="1"/>
  <c r="E104" i="13" s="1"/>
  <c r="F104" i="13" l="1"/>
  <c r="G104" i="13" s="1"/>
  <c r="E105" i="13"/>
  <c r="F105" i="13" l="1"/>
  <c r="G105" i="13" s="1"/>
  <c r="E106" i="13" s="1"/>
  <c r="F106" i="13" l="1"/>
  <c r="G106" i="13" s="1"/>
  <c r="E107" i="13" s="1"/>
  <c r="F107" i="13" l="1"/>
  <c r="G107" i="13" s="1"/>
  <c r="E108" i="13" s="1"/>
  <c r="F108" i="13" l="1"/>
  <c r="G108" i="13" s="1"/>
  <c r="E109" i="13" s="1"/>
  <c r="F109" i="13" l="1"/>
  <c r="G109" i="13" s="1"/>
  <c r="E110" i="13" s="1"/>
  <c r="F110" i="13" l="1"/>
  <c r="G110" i="13" s="1"/>
  <c r="E111" i="13" s="1"/>
  <c r="F111" i="13" l="1"/>
  <c r="G111" i="13" s="1"/>
  <c r="E112" i="13" s="1"/>
  <c r="F112" i="13" l="1"/>
  <c r="G112" i="13" s="1"/>
  <c r="E113" i="13" s="1"/>
  <c r="F113" i="13" l="1"/>
  <c r="G113" i="13" s="1"/>
  <c r="E114" i="13" s="1"/>
  <c r="F114" i="13" l="1"/>
  <c r="G114" i="13" s="1"/>
  <c r="E115" i="13"/>
  <c r="F115" i="13" l="1"/>
  <c r="G115" i="13" s="1"/>
  <c r="E116" i="13" s="1"/>
  <c r="F116" i="13" l="1"/>
  <c r="G116" i="13" s="1"/>
  <c r="E117" i="13"/>
  <c r="F117" i="13" l="1"/>
  <c r="G117" i="13" s="1"/>
  <c r="E118" i="13" s="1"/>
  <c r="F118" i="13" l="1"/>
  <c r="G118" i="13" s="1"/>
  <c r="E119" i="13" s="1"/>
  <c r="F119" i="13" l="1"/>
  <c r="G119" i="13" s="1"/>
  <c r="E120" i="13" s="1"/>
  <c r="F120" i="13" l="1"/>
  <c r="G120" i="13" s="1"/>
  <c r="E121" i="13" s="1"/>
  <c r="F121" i="13" l="1"/>
  <c r="G121" i="13" s="1"/>
  <c r="E122" i="13" s="1"/>
  <c r="F122" i="13" l="1"/>
  <c r="G122" i="13" s="1"/>
  <c r="E123" i="13" s="1"/>
  <c r="F123" i="13" l="1"/>
  <c r="G123" i="13" s="1"/>
  <c r="E124" i="13" s="1"/>
  <c r="F124" i="13" l="1"/>
  <c r="G124" i="13" s="1"/>
  <c r="E125" i="13" s="1"/>
  <c r="F125" i="13" l="1"/>
  <c r="G125" i="13" s="1"/>
  <c r="E126" i="13" s="1"/>
  <c r="F126" i="13" l="1"/>
  <c r="G126" i="13" s="1"/>
  <c r="E127" i="13" s="1"/>
  <c r="F127" i="13" l="1"/>
  <c r="G127" i="13" s="1"/>
  <c r="E128" i="13" s="1"/>
  <c r="F128" i="13" l="1"/>
  <c r="G128" i="13" s="1"/>
  <c r="E129" i="13"/>
  <c r="F129" i="13" l="1"/>
  <c r="G129" i="13" s="1"/>
  <c r="E130" i="13" s="1"/>
  <c r="F130" i="13" l="1"/>
  <c r="G130" i="13" s="1"/>
  <c r="E131" i="13"/>
  <c r="F131" i="13" l="1"/>
  <c r="G131" i="13" s="1"/>
  <c r="E132" i="13" s="1"/>
  <c r="F132" i="13" l="1"/>
  <c r="G132" i="13" s="1"/>
  <c r="E133" i="13" s="1"/>
  <c r="F133" i="13" l="1"/>
  <c r="G133" i="13" s="1"/>
  <c r="E134" i="13" s="1"/>
  <c r="F134" i="13" l="1"/>
  <c r="G134" i="13" s="1"/>
  <c r="E135" i="13" s="1"/>
  <c r="F135" i="13" l="1"/>
  <c r="G135" i="13" s="1"/>
  <c r="E136" i="13"/>
  <c r="F136" i="13" l="1"/>
  <c r="G136" i="13" s="1"/>
  <c r="E137" i="13" s="1"/>
  <c r="F137" i="13" l="1"/>
  <c r="G137" i="13" s="1"/>
  <c r="E138" i="13" s="1"/>
  <c r="F138" i="13" l="1"/>
  <c r="G138" i="13" s="1"/>
  <c r="E139" i="13" s="1"/>
  <c r="F139" i="13" l="1"/>
  <c r="G139" i="13" s="1"/>
  <c r="E140" i="13" s="1"/>
  <c r="F140" i="13" l="1"/>
  <c r="G140" i="13" s="1"/>
  <c r="E141" i="13" s="1"/>
  <c r="F141" i="13" l="1"/>
  <c r="G141" i="13" s="1"/>
  <c r="E142" i="13" s="1"/>
  <c r="F142" i="13" l="1"/>
  <c r="G142" i="13" s="1"/>
  <c r="E143" i="13" s="1"/>
  <c r="F143" i="13" l="1"/>
  <c r="G143" i="13" s="1"/>
  <c r="E144" i="13" s="1"/>
  <c r="F144" i="13" l="1"/>
  <c r="G144" i="13" s="1"/>
  <c r="E145" i="13" s="1"/>
  <c r="F145" i="13" l="1"/>
  <c r="G145" i="13" s="1"/>
  <c r="E146" i="13" s="1"/>
  <c r="F146" i="13" l="1"/>
  <c r="G146" i="13" s="1"/>
  <c r="E147" i="13"/>
  <c r="F147" i="13" l="1"/>
  <c r="G147" i="13" s="1"/>
  <c r="E148" i="13" s="1"/>
  <c r="F148" i="13" l="1"/>
  <c r="G148" i="13" s="1"/>
  <c r="E149" i="13" s="1"/>
  <c r="F149" i="13" l="1"/>
  <c r="G149" i="13" s="1"/>
  <c r="E150" i="13" s="1"/>
  <c r="F150" i="13" l="1"/>
  <c r="G150" i="13" s="1"/>
  <c r="E151" i="13"/>
  <c r="F151" i="13" l="1"/>
  <c r="G151" i="13" s="1"/>
  <c r="E152" i="13"/>
  <c r="F152" i="13" l="1"/>
  <c r="G152" i="13" s="1"/>
  <c r="E153" i="13"/>
  <c r="F153" i="13" l="1"/>
  <c r="G153" i="13" s="1"/>
  <c r="E154" i="13" s="1"/>
  <c r="F154" i="13" l="1"/>
  <c r="G154" i="13" s="1"/>
  <c r="E155" i="13" s="1"/>
  <c r="F155" i="13" l="1"/>
  <c r="G155" i="13" s="1"/>
  <c r="E156" i="13" s="1"/>
  <c r="F156" i="13" l="1"/>
  <c r="G156" i="13" s="1"/>
  <c r="E157" i="13" s="1"/>
  <c r="F157" i="13" l="1"/>
  <c r="G157" i="13" s="1"/>
  <c r="E158" i="13" s="1"/>
  <c r="F158" i="13" l="1"/>
  <c r="G158" i="13" s="1"/>
  <c r="E159" i="13" s="1"/>
  <c r="F159" i="13" l="1"/>
  <c r="G159" i="13" s="1"/>
  <c r="E160" i="13"/>
  <c r="F160" i="13" l="1"/>
  <c r="G160" i="13" s="1"/>
  <c r="E161" i="13" s="1"/>
  <c r="F161" i="13" l="1"/>
  <c r="G161" i="13" s="1"/>
  <c r="E162" i="13" s="1"/>
  <c r="F162" i="13" l="1"/>
  <c r="G162" i="13" s="1"/>
  <c r="E163" i="13"/>
  <c r="F163" i="13" l="1"/>
  <c r="G163" i="13" s="1"/>
  <c r="E164" i="13"/>
  <c r="F164" i="13" l="1"/>
  <c r="G164" i="13" s="1"/>
  <c r="E165" i="13" s="1"/>
  <c r="F165" i="13" l="1"/>
  <c r="G165" i="13" s="1"/>
  <c r="E166" i="13" s="1"/>
  <c r="F166" i="13" l="1"/>
  <c r="G166" i="13" s="1"/>
  <c r="E167" i="13" s="1"/>
  <c r="F167" i="13" l="1"/>
  <c r="G167" i="13" s="1"/>
  <c r="E168" i="13" s="1"/>
  <c r="F168" i="13" l="1"/>
  <c r="G168" i="13" s="1"/>
  <c r="E169" i="13" s="1"/>
  <c r="F169" i="13" l="1"/>
  <c r="G169" i="13" s="1"/>
  <c r="E170" i="13" s="1"/>
  <c r="F170" i="13" l="1"/>
  <c r="G170" i="13" s="1"/>
  <c r="E171" i="13" s="1"/>
  <c r="F171" i="13" l="1"/>
  <c r="G171" i="13" s="1"/>
  <c r="E172" i="13"/>
  <c r="F172" i="13" l="1"/>
  <c r="G172" i="13" s="1"/>
  <c r="E173" i="13" s="1"/>
  <c r="F173" i="13" l="1"/>
  <c r="G173" i="13" s="1"/>
  <c r="E174" i="13" s="1"/>
  <c r="F174" i="13" l="1"/>
  <c r="G174" i="13" s="1"/>
  <c r="E175" i="13" s="1"/>
  <c r="F175" i="13" l="1"/>
  <c r="G175" i="13" s="1"/>
  <c r="E176" i="13"/>
  <c r="F176" i="13" l="1"/>
  <c r="G176" i="13" s="1"/>
  <c r="E177" i="13" s="1"/>
  <c r="F177" i="13" l="1"/>
  <c r="G177" i="13" s="1"/>
  <c r="E178" i="13" s="1"/>
  <c r="F178" i="13" l="1"/>
  <c r="G178" i="13" s="1"/>
  <c r="E179" i="13" s="1"/>
  <c r="F179" i="13" l="1"/>
  <c r="G179" i="13" s="1"/>
  <c r="E180" i="13"/>
  <c r="F180" i="13" l="1"/>
  <c r="G180" i="13" s="1"/>
  <c r="E181" i="13" s="1"/>
  <c r="F181" i="13" l="1"/>
  <c r="G181" i="13" s="1"/>
  <c r="E182" i="13" s="1"/>
  <c r="F182" i="13" l="1"/>
  <c r="G182" i="13" s="1"/>
  <c r="E183" i="13" s="1"/>
  <c r="F183" i="13" l="1"/>
  <c r="G183" i="13" s="1"/>
  <c r="E184" i="13" s="1"/>
  <c r="F184" i="13" l="1"/>
  <c r="G184" i="13" s="1"/>
  <c r="E185" i="13" s="1"/>
  <c r="F185" i="13" l="1"/>
  <c r="G185" i="13" s="1"/>
  <c r="E186" i="13" s="1"/>
  <c r="F186" i="13" l="1"/>
  <c r="G186" i="13" s="1"/>
  <c r="E187" i="13"/>
  <c r="F187" i="13" l="1"/>
  <c r="G187" i="13" s="1"/>
  <c r="E188" i="13" s="1"/>
  <c r="F188" i="13" l="1"/>
  <c r="G188" i="13" s="1"/>
  <c r="E189" i="13"/>
  <c r="F189" i="13" l="1"/>
  <c r="G189" i="13" s="1"/>
  <c r="E190" i="13" s="1"/>
  <c r="F190" i="13" l="1"/>
  <c r="G190" i="13" s="1"/>
  <c r="E191" i="13" s="1"/>
  <c r="F191" i="13" l="1"/>
  <c r="G191" i="13" s="1"/>
  <c r="E192" i="13" s="1"/>
  <c r="F192" i="13" l="1"/>
  <c r="G192" i="13" s="1"/>
  <c r="E193" i="13" s="1"/>
  <c r="F193" i="13" l="1"/>
  <c r="G193" i="13" s="1"/>
  <c r="E194" i="13" s="1"/>
  <c r="F194" i="13" l="1"/>
  <c r="G194" i="13" s="1"/>
  <c r="E195" i="13"/>
  <c r="F195" i="13" l="1"/>
  <c r="G195" i="13" s="1"/>
  <c r="E196" i="13"/>
  <c r="F196" i="13" l="1"/>
  <c r="G196" i="13" s="1"/>
  <c r="E197" i="13"/>
  <c r="E198" i="13" l="1"/>
  <c r="F197" i="13"/>
  <c r="G197" i="13" s="1"/>
  <c r="F198" i="13" l="1"/>
  <c r="G198" i="13" s="1"/>
  <c r="E199" i="13" s="1"/>
  <c r="F199" i="13" l="1"/>
  <c r="G199" i="13" s="1"/>
  <c r="E200" i="13"/>
  <c r="F200" i="13" l="1"/>
  <c r="G200" i="13" s="1"/>
  <c r="E201" i="13" s="1"/>
  <c r="F201" i="13" l="1"/>
  <c r="G201" i="13" s="1"/>
  <c r="E202" i="13" s="1"/>
  <c r="F202" i="13" l="1"/>
  <c r="G202" i="13" s="1"/>
  <c r="E203" i="13" s="1"/>
  <c r="F203" i="13" l="1"/>
  <c r="G203" i="13" s="1"/>
  <c r="E204" i="13" s="1"/>
  <c r="F204" i="13" l="1"/>
  <c r="G204" i="13" s="1"/>
  <c r="E205" i="13"/>
  <c r="F205" i="13" l="1"/>
  <c r="G205" i="13" s="1"/>
  <c r="E206" i="13" s="1"/>
  <c r="F206" i="13" l="1"/>
  <c r="G206" i="13" s="1"/>
  <c r="E207" i="13" s="1"/>
  <c r="F207" i="13" l="1"/>
  <c r="G207" i="13" s="1"/>
  <c r="E208" i="13"/>
  <c r="F208" i="13" l="1"/>
  <c r="G208" i="13" s="1"/>
  <c r="E209" i="13"/>
  <c r="F209" i="13" l="1"/>
  <c r="G209" i="13" s="1"/>
  <c r="E210" i="13" s="1"/>
  <c r="F210" i="13" l="1"/>
  <c r="G210" i="13" s="1"/>
  <c r="E211" i="13" s="1"/>
  <c r="F211" i="13" l="1"/>
  <c r="G211" i="13" s="1"/>
  <c r="E212" i="13" s="1"/>
  <c r="F212" i="13" l="1"/>
  <c r="G212" i="13" s="1"/>
  <c r="E213" i="13" s="1"/>
  <c r="F213" i="13" l="1"/>
  <c r="G213" i="13" s="1"/>
  <c r="E214" i="13" s="1"/>
  <c r="F214" i="13" l="1"/>
  <c r="G214" i="13" s="1"/>
  <c r="E215" i="13" s="1"/>
  <c r="F215" i="13" l="1"/>
  <c r="G215" i="13" s="1"/>
  <c r="E216" i="13" s="1"/>
  <c r="F216" i="13" l="1"/>
  <c r="G216" i="13" s="1"/>
  <c r="E217" i="13" s="1"/>
  <c r="F217" i="13" l="1"/>
  <c r="G217" i="13" s="1"/>
  <c r="E218" i="13"/>
  <c r="F218" i="13" l="1"/>
  <c r="G218" i="13" s="1"/>
  <c r="E219" i="13"/>
  <c r="F219" i="13" l="1"/>
  <c r="G219" i="13" s="1"/>
  <c r="E220" i="13" s="1"/>
  <c r="F220" i="13" l="1"/>
  <c r="G220" i="13" s="1"/>
  <c r="E221" i="13" s="1"/>
  <c r="F221" i="13" l="1"/>
  <c r="G221" i="13" s="1"/>
  <c r="E222" i="13" s="1"/>
  <c r="F222" i="13" l="1"/>
  <c r="G222" i="13" s="1"/>
  <c r="E223" i="13" s="1"/>
  <c r="F223" i="13" l="1"/>
  <c r="G223" i="13" s="1"/>
  <c r="E224" i="13" s="1"/>
  <c r="F224" i="13" l="1"/>
  <c r="G224" i="13" s="1"/>
  <c r="E225" i="13"/>
  <c r="F225" i="13" l="1"/>
  <c r="G225" i="13" s="1"/>
  <c r="E226" i="13" s="1"/>
  <c r="F226" i="13" l="1"/>
  <c r="G226" i="13" s="1"/>
  <c r="E227" i="13" s="1"/>
  <c r="F227" i="13" l="1"/>
  <c r="G227" i="13" s="1"/>
  <c r="E228" i="13" s="1"/>
  <c r="F228" i="13" l="1"/>
  <c r="G228" i="13" s="1"/>
  <c r="E229" i="13"/>
  <c r="F229" i="13" l="1"/>
  <c r="G229" i="13" s="1"/>
  <c r="E230" i="13"/>
  <c r="F230" i="13" l="1"/>
  <c r="G230" i="13" s="1"/>
  <c r="E231" i="13" s="1"/>
  <c r="F231" i="13" l="1"/>
  <c r="G231" i="13" s="1"/>
  <c r="E232" i="13" s="1"/>
  <c r="F232" i="13" l="1"/>
  <c r="G232" i="13" s="1"/>
  <c r="E233" i="13" s="1"/>
  <c r="F233" i="13" l="1"/>
  <c r="G233" i="13" s="1"/>
  <c r="E234" i="13" s="1"/>
  <c r="F234" i="13" l="1"/>
  <c r="G234" i="13" s="1"/>
  <c r="E235" i="13" s="1"/>
  <c r="F235" i="13" l="1"/>
  <c r="G235" i="13" s="1"/>
  <c r="E236" i="13" s="1"/>
  <c r="F236" i="13" l="1"/>
  <c r="G236" i="13" s="1"/>
  <c r="E237" i="13" s="1"/>
  <c r="F237" i="13" l="1"/>
  <c r="G237" i="13" s="1"/>
  <c r="E238" i="13" s="1"/>
  <c r="F238" i="13" l="1"/>
  <c r="G238" i="13" s="1"/>
  <c r="E239" i="13"/>
  <c r="F239" i="13" l="1"/>
  <c r="G239" i="13" s="1"/>
  <c r="E240" i="13" s="1"/>
  <c r="F240" i="13" l="1"/>
  <c r="G240" i="13" s="1"/>
  <c r="E241" i="13" s="1"/>
  <c r="F241" i="13" l="1"/>
  <c r="G241" i="13" s="1"/>
  <c r="E242" i="13" s="1"/>
  <c r="F242" i="13" l="1"/>
  <c r="G242" i="13" s="1"/>
  <c r="E243" i="13"/>
  <c r="F243" i="13" l="1"/>
  <c r="G243" i="13" s="1"/>
  <c r="E244" i="13" s="1"/>
  <c r="F244" i="13" l="1"/>
  <c r="G244" i="13" s="1"/>
  <c r="E245" i="13" s="1"/>
  <c r="F245" i="13" l="1"/>
  <c r="G245" i="13" l="1"/>
  <c r="F246" i="13"/>
  <c r="G246" i="13" l="1"/>
  <c r="E24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LSR</author>
  </authors>
  <commentList>
    <comment ref="K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LSR:</t>
        </r>
        <r>
          <rPr>
            <sz val="8"/>
            <color indexed="81"/>
            <rFont val="Tahoma"/>
            <family val="2"/>
          </rPr>
          <t xml:space="preserve">
Com comissão de resgate e câmbio EURUSD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LSR</author>
  </authors>
  <commentList>
    <comment ref="E7" authorId="0" shapeId="0" xr:uid="{00000000-0006-0000-0400-000001000000}">
      <text>
        <r>
          <rPr>
            <sz val="8"/>
            <color rgb="FF000000"/>
            <rFont val="Tahoma"/>
            <family val="2"/>
          </rPr>
          <t>Função a maximizar</t>
        </r>
      </text>
    </comment>
  </commentList>
</comments>
</file>

<file path=xl/sharedStrings.xml><?xml version="1.0" encoding="utf-8"?>
<sst xmlns="http://schemas.openxmlformats.org/spreadsheetml/2006/main" count="225" uniqueCount="144">
  <si>
    <t>Regiões</t>
  </si>
  <si>
    <t>Região</t>
  </si>
  <si>
    <t>Distrito</t>
  </si>
  <si>
    <t>Nº Concelhos</t>
  </si>
  <si>
    <t>Norte</t>
  </si>
  <si>
    <t>Viana do Castelo</t>
  </si>
  <si>
    <t>Centro</t>
  </si>
  <si>
    <t>Braga</t>
  </si>
  <si>
    <t>Sul</t>
  </si>
  <si>
    <t>Porto</t>
  </si>
  <si>
    <t>Regiões Autónomas</t>
  </si>
  <si>
    <t>Aveiro</t>
  </si>
  <si>
    <t>Vila Real</t>
  </si>
  <si>
    <t>Coimbra</t>
  </si>
  <si>
    <t>Bragança</t>
  </si>
  <si>
    <t>=DESLOCAMENTO($D$2;CORRESP($I$6;$C$2:$C$21;0)-1;0;CONTAR.SE($C$2:$C$21;$I$6);1)'</t>
  </si>
  <si>
    <t>Viseu</t>
  </si>
  <si>
    <t>Guarda</t>
  </si>
  <si>
    <t>Corresp</t>
  </si>
  <si>
    <t>Castelo Branco</t>
  </si>
  <si>
    <t>Contar.se</t>
  </si>
  <si>
    <t>Leiria</t>
  </si>
  <si>
    <t>Santarém</t>
  </si>
  <si>
    <t>Lisboa</t>
  </si>
  <si>
    <t>Setúbal</t>
  </si>
  <si>
    <t>Portalegre</t>
  </si>
  <si>
    <t>Évora</t>
  </si>
  <si>
    <t>Beja</t>
  </si>
  <si>
    <t>Faro</t>
  </si>
  <si>
    <t>Madeira</t>
  </si>
  <si>
    <t>Açores</t>
  </si>
  <si>
    <t>Simulador de Empréstimo</t>
  </si>
  <si>
    <t xml:space="preserve">Valor Empréstimo </t>
  </si>
  <si>
    <t xml:space="preserve">Taxa EURIBOR </t>
  </si>
  <si>
    <t xml:space="preserve">Taxa Spread </t>
  </si>
  <si>
    <t xml:space="preserve">Anos </t>
  </si>
  <si>
    <t xml:space="preserve">Mensalidade </t>
  </si>
  <si>
    <t>FUNDOS DE INVESTIMENTO</t>
  </si>
  <si>
    <t>Nome do Fundo</t>
  </si>
  <si>
    <t>Risco</t>
  </si>
  <si>
    <t>Comissão Resgate</t>
  </si>
  <si>
    <t>Valor Investimento (EUR)</t>
  </si>
  <si>
    <t>Valor Investimento (USD)</t>
  </si>
  <si>
    <t>Quantidade</t>
  </si>
  <si>
    <t>Preço Entrada (USD)</t>
  </si>
  <si>
    <t>Último Preço 
(USD)</t>
  </si>
  <si>
    <t>Valorização (USD)</t>
  </si>
  <si>
    <t>Valorização (%)</t>
  </si>
  <si>
    <t>Valor Resgate Previsto 
(EUR)</t>
  </si>
  <si>
    <t>Saldo</t>
  </si>
  <si>
    <t>Latin America Equities</t>
  </si>
  <si>
    <t>ND</t>
  </si>
  <si>
    <t>China Focus Fund</t>
  </si>
  <si>
    <t>Emerging Mkts</t>
  </si>
  <si>
    <t>Biotech</t>
  </si>
  <si>
    <t>Statistical Market Neutral</t>
  </si>
  <si>
    <t>Câmbio Actual EUR/USD</t>
  </si>
  <si>
    <t>Cálculo de Produção</t>
  </si>
  <si>
    <t>Quantidade a produzir:</t>
  </si>
  <si>
    <t>Cocos</t>
  </si>
  <si>
    <t>Cartolas</t>
  </si>
  <si>
    <t>Objectivo:</t>
  </si>
  <si>
    <t>Maximização do Lucro</t>
  </si>
  <si>
    <t>Restrições:</t>
  </si>
  <si>
    <t xml:space="preserve">Cocos </t>
  </si>
  <si>
    <t xml:space="preserve">1)     </t>
  </si>
  <si>
    <t>&lt;=</t>
  </si>
  <si>
    <t xml:space="preserve">2)     </t>
  </si>
  <si>
    <t xml:space="preserve">3)     </t>
  </si>
  <si>
    <t>Com esta folha de cálculo pretende-se simular uma pequena calculadora de empréstimos</t>
  </si>
  <si>
    <t>1. Construa uma tabela de dados que permita analisar a oscilação do valor da mensalidade se a taxa EURIBOR variar entre os 4% e os 6% com intervalos de 0,25%</t>
  </si>
  <si>
    <t>2. Construa outra tabela de dados que permita analisar a oscilação do valor da mensalidade se a taxa EURIBOR variar entre os 4% e os 6% com intervalos de 0,25% e se se considerassem 4 prazos diferentes: 25, 30, 35 e 40 anos.</t>
  </si>
  <si>
    <t>1. Construa três cenários que permitam analisar e avaliar o impacto que a variação da taxa de câmbio EURUSD poderá ter nos resultados dos fundos. Os três cenários são os seguintes:</t>
  </si>
  <si>
    <t>&gt;&gt;   Cenário "EURUSD Actual" onde a taxa de câmbio é 1,4787</t>
  </si>
  <si>
    <t>&gt;&gt;   Cenário "EURUSD Val EURO" onde a taxa de câmbio será de 1,54</t>
  </si>
  <si>
    <t>&gt;&gt;   Cenário "EURUSD Val DOLAR" onde a taxa de câmbio será de 1,42</t>
  </si>
  <si>
    <t>2 . Altere o valor da taxa de câmbio prevista no cenário "EUR Val DOLAR" para 1,45</t>
  </si>
  <si>
    <t>3. Remova o cenário "EURUSD Actual"</t>
  </si>
  <si>
    <t>4. Volte a criar o cenário "EURUSD Actual"</t>
  </si>
  <si>
    <t>5. Crie um sunário de cenários que permita analisar o impacto nas células K12 e L12.</t>
  </si>
  <si>
    <t>6. Determine qual deveria ser a taxa de câmbio para que o fundo "Statistical Market Neutral" não desse prejuízo</t>
  </si>
  <si>
    <t>Considere o seguinte enunciado:</t>
  </si>
  <si>
    <t>Um fabricante de chapéus, para melhor rentabilizar o seu pessoal e máquinas, pretende produzir  dois novos tipos de chapéus de luxo, chapéus de coco e cartolas, cujo lucro esprado será de 10 euros e 20 euros por unidade, respetivamente.</t>
  </si>
  <si>
    <t>O tempo necessário para a produção de cada chapéu de coco é de 20 horas e de cada cartola é de 30 horas. Sabendo que o total de horas disponíveis é de 1200 e que a procura esperada é de 40 unidades/ano de chapéus de coco e de 30 unidades/ano de cartolas, pretende-se determinar quantas unidades de cada tipo de chapéu deve a empresa produzir de forma a maximizar o seu lucro.</t>
  </si>
  <si>
    <t>Resolva este problema utilizando o solucionador e gerando no final um relatório de resposta.</t>
  </si>
  <si>
    <t>EXERCÍCIO 22 - Empréstimo - Sistema Francês</t>
  </si>
  <si>
    <t>INSERÇÃO DE DADOS</t>
  </si>
  <si>
    <t>SISTEMA FRANCÊS</t>
  </si>
  <si>
    <t>NOTA:</t>
  </si>
  <si>
    <t>Montante do empréstimo</t>
  </si>
  <si>
    <t xml:space="preserve">O cálculo da prestação em Sistema Francês é feito através da </t>
  </si>
  <si>
    <t>Número de prestações</t>
  </si>
  <si>
    <t>Prest. nº</t>
  </si>
  <si>
    <t>Cap. dívida</t>
  </si>
  <si>
    <t>Juro</t>
  </si>
  <si>
    <t>Amortização</t>
  </si>
  <si>
    <t>Prestação</t>
  </si>
  <si>
    <t>correspondente função financeira do Excel (PGTO).</t>
  </si>
  <si>
    <t>Periodicidade das prestações (a)</t>
  </si>
  <si>
    <t>Taxa de juro (anual nominal)</t>
  </si>
  <si>
    <t>(a) 12= mensal; 4=trimestral; 2 = semestral; etc.</t>
  </si>
  <si>
    <t>EXERCÍCIO 23 - Empréstimo - Sistema de amortizações constantes</t>
  </si>
  <si>
    <t>SISTEMA DE AMORTIZAÇÕES CONSTANTES</t>
  </si>
  <si>
    <t>EXERCÍCIO 24 - Empréstimo - Sistema Francês - variantes</t>
  </si>
  <si>
    <t>SISTEMA FRANCÊS - Carência de capital de 2 anos</t>
  </si>
  <si>
    <t>SISTEMA FRANCÊS - Carência total de 2 anos</t>
  </si>
  <si>
    <t>SISTEMA FRANCÊS - Prestações antecipadas</t>
  </si>
  <si>
    <t>EXERCÍCIO 25 - Crédito habitação</t>
  </si>
  <si>
    <t>EXERCÍCIO 26 - Leasing</t>
  </si>
  <si>
    <t xml:space="preserve">LEASING            </t>
  </si>
  <si>
    <t>PRESTAÇÕES</t>
  </si>
  <si>
    <t>NOTAS:</t>
  </si>
  <si>
    <t>Valor do bem locado</t>
  </si>
  <si>
    <t>Mom.</t>
  </si>
  <si>
    <t>Amortiz.</t>
  </si>
  <si>
    <t>1. O cálculo da prestação é feito através da correspondente função</t>
  </si>
  <si>
    <t>Periodic. das prestações (a)</t>
  </si>
  <si>
    <t>financeira do Excel (PGTO), agora com todos os argumentos.</t>
  </si>
  <si>
    <t>Valor residual</t>
  </si>
  <si>
    <t>2. A célula B9 apenas permite a inserção dos valores "0" ou "1" para</t>
  </si>
  <si>
    <t>Tipo das prestações (b)</t>
  </si>
  <si>
    <t xml:space="preserve">que os cálculos (juro, prestação, VR) sejam feitos assumindo  </t>
  </si>
  <si>
    <t>prestações postecipadas ou antecipadas, respetivamente.</t>
  </si>
  <si>
    <t>(b) 0=postecipadas; 1=antecipadas</t>
  </si>
  <si>
    <t>VR</t>
  </si>
  <si>
    <t>ID Cliente</t>
  </si>
  <si>
    <t>Cliente</t>
  </si>
  <si>
    <t>UF</t>
  </si>
  <si>
    <t>Cidade</t>
  </si>
  <si>
    <t>Faturamento</t>
  </si>
  <si>
    <t>Huguinho</t>
  </si>
  <si>
    <t>SP</t>
  </si>
  <si>
    <t>São Paulo</t>
  </si>
  <si>
    <t>Zézinho</t>
  </si>
  <si>
    <t>Andradina</t>
  </si>
  <si>
    <t>Luizinho</t>
  </si>
  <si>
    <t>RJ</t>
  </si>
  <si>
    <t>Parati</t>
  </si>
  <si>
    <t>João</t>
  </si>
  <si>
    <t>MG</t>
  </si>
  <si>
    <t>Belo Horizonte</t>
  </si>
  <si>
    <t>Maria</t>
  </si>
  <si>
    <t>BA</t>
  </si>
  <si>
    <t>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</si>
</sst>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dd/mmm/yyyy"/>
    <numFmt numFmtId="167" formatCode="#,##0.00\ &quot;€&quot;"/>
    <numFmt numFmtId="168" formatCode="0.000%"/>
    <numFmt numFmtId="169" formatCode="0.0%"/>
    <numFmt numFmtId="170" formatCode="[$$-409]#,##0.00"/>
    <numFmt numFmtId="171" formatCode="0.000\ \ \ \ \ "/>
    <numFmt numFmtId="172" formatCode="0.00%\ \ \ "/>
    <numFmt numFmtId="173" formatCode="&quot;R$&quot;\ #,##0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0"/>
      <color theme="0"/>
      <name val="Calibri"/>
      <family val="2"/>
    </font>
    <font>
      <b/>
      <i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theme="0"/>
      <name val="Segoe UI"/>
      <family val="2"/>
    </font>
    <font>
      <sz val="8"/>
      <color rgb="FF00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1"/>
    <xf numFmtId="0" fontId="1" fillId="2" borderId="1" xfId="1" applyFill="1" applyBorder="1"/>
    <xf numFmtId="0" fontId="1" fillId="2" borderId="2" xfId="1" applyFill="1" applyBorder="1"/>
    <xf numFmtId="0" fontId="1" fillId="3" borderId="3" xfId="1" applyFill="1" applyBorder="1"/>
    <xf numFmtId="0" fontId="1" fillId="4" borderId="4" xfId="1" applyFill="1" applyBorder="1"/>
    <xf numFmtId="0" fontId="1" fillId="2" borderId="5" xfId="1" applyFill="1" applyBorder="1"/>
    <xf numFmtId="0" fontId="1" fillId="3" borderId="6" xfId="1" applyFill="1" applyBorder="1"/>
    <xf numFmtId="0" fontId="1" fillId="4" borderId="7" xfId="1" applyFill="1" applyBorder="1"/>
    <xf numFmtId="0" fontId="2" fillId="2" borderId="1" xfId="1" applyFont="1" applyFill="1" applyBorder="1"/>
    <xf numFmtId="0" fontId="1" fillId="3" borderId="1" xfId="1" applyFill="1" applyBorder="1"/>
    <xf numFmtId="0" fontId="1" fillId="4" borderId="1" xfId="1" applyFill="1" applyBorder="1"/>
    <xf numFmtId="0" fontId="1" fillId="2" borderId="8" xfId="1" applyFill="1" applyBorder="1"/>
    <xf numFmtId="0" fontId="1" fillId="3" borderId="9" xfId="1" applyFill="1" applyBorder="1"/>
    <xf numFmtId="0" fontId="1" fillId="4" borderId="10" xfId="1" applyFill="1" applyBorder="1"/>
    <xf numFmtId="0" fontId="1" fillId="0" borderId="0" xfId="1" quotePrefix="1"/>
    <xf numFmtId="0" fontId="1" fillId="0" borderId="1" xfId="1" applyBorder="1"/>
    <xf numFmtId="0" fontId="2" fillId="2" borderId="2" xfId="1" applyFont="1" applyFill="1" applyBorder="1"/>
    <xf numFmtId="0" fontId="1" fillId="4" borderId="3" xfId="1" applyFill="1" applyBorder="1"/>
    <xf numFmtId="0" fontId="2" fillId="2" borderId="8" xfId="1" applyFont="1" applyFill="1" applyBorder="1"/>
    <xf numFmtId="0" fontId="1" fillId="4" borderId="9" xfId="1" applyFill="1" applyBorder="1"/>
    <xf numFmtId="0" fontId="2" fillId="0" borderId="0" xfId="4" applyAlignment="1">
      <alignment vertical="center"/>
    </xf>
    <xf numFmtId="0" fontId="2" fillId="0" borderId="0" xfId="4" applyAlignment="1">
      <alignment horizontal="center" vertical="center"/>
    </xf>
    <xf numFmtId="0" fontId="2" fillId="0" borderId="0" xfId="4" applyAlignment="1">
      <alignment horizontal="right" vertical="center"/>
    </xf>
    <xf numFmtId="167" fontId="2" fillId="0" borderId="1" xfId="4" applyNumberFormat="1" applyBorder="1" applyAlignment="1">
      <alignment horizontal="right" vertical="center"/>
    </xf>
    <xf numFmtId="168" fontId="0" fillId="0" borderId="1" xfId="6" applyNumberFormat="1" applyFont="1" applyBorder="1" applyAlignment="1">
      <alignment horizontal="right" vertical="center"/>
    </xf>
    <xf numFmtId="0" fontId="2" fillId="0" borderId="1" xfId="4" applyBorder="1" applyAlignment="1">
      <alignment horizontal="center" vertical="center"/>
    </xf>
    <xf numFmtId="167" fontId="2" fillId="0" borderId="11" xfId="4" applyNumberFormat="1" applyFill="1" applyBorder="1" applyAlignment="1">
      <alignment horizontal="right" vertical="center"/>
    </xf>
    <xf numFmtId="0" fontId="7" fillId="6" borderId="1" xfId="7" applyFont="1" applyFill="1" applyBorder="1" applyAlignment="1">
      <alignment horizontal="center" vertical="center" wrapText="1"/>
    </xf>
    <xf numFmtId="0" fontId="2" fillId="0" borderId="1" xfId="4" applyBorder="1" applyAlignment="1">
      <alignment vertical="center"/>
    </xf>
    <xf numFmtId="0" fontId="2" fillId="0" borderId="1" xfId="4" quotePrefix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167" fontId="2" fillId="0" borderId="1" xfId="4" applyNumberFormat="1" applyBorder="1" applyAlignment="1">
      <alignment vertical="center"/>
    </xf>
    <xf numFmtId="170" fontId="2" fillId="0" borderId="1" xfId="4" applyNumberFormat="1" applyBorder="1" applyAlignment="1">
      <alignment vertical="center"/>
    </xf>
    <xf numFmtId="171" fontId="0" fillId="0" borderId="1" xfId="6" applyNumberFormat="1" applyFont="1" applyBorder="1" applyAlignment="1">
      <alignment horizontal="right" vertical="center"/>
    </xf>
    <xf numFmtId="170" fontId="2" fillId="0" borderId="1" xfId="4" applyNumberFormat="1" applyFill="1" applyBorder="1" applyAlignment="1">
      <alignment vertical="center"/>
    </xf>
    <xf numFmtId="170" fontId="2" fillId="7" borderId="1" xfId="4" applyNumberFormat="1" applyFill="1" applyBorder="1" applyAlignment="1">
      <alignment vertical="center"/>
    </xf>
    <xf numFmtId="172" fontId="0" fillId="0" borderId="1" xfId="6" applyNumberFormat="1" applyFont="1" applyBorder="1" applyAlignment="1">
      <alignment horizontal="right" vertical="center"/>
    </xf>
    <xf numFmtId="164" fontId="2" fillId="0" borderId="1" xfId="4" applyNumberFormat="1" applyBorder="1" applyAlignment="1">
      <alignment vertical="center"/>
    </xf>
    <xf numFmtId="167" fontId="8" fillId="8" borderId="0" xfId="4" applyNumberFormat="1" applyFont="1" applyFill="1" applyBorder="1" applyAlignment="1">
      <alignment horizontal="right" vertical="center"/>
    </xf>
    <xf numFmtId="170" fontId="8" fillId="8" borderId="0" xfId="4" applyNumberFormat="1" applyFont="1" applyFill="1" applyBorder="1" applyAlignment="1">
      <alignment vertical="center"/>
    </xf>
    <xf numFmtId="0" fontId="2" fillId="3" borderId="1" xfId="4" applyFill="1" applyBorder="1" applyAlignment="1">
      <alignment horizontal="center" vertical="center"/>
    </xf>
    <xf numFmtId="0" fontId="2" fillId="0" borderId="0" xfId="4"/>
    <xf numFmtId="0" fontId="11" fillId="0" borderId="0" xfId="4" applyFont="1" applyAlignment="1">
      <alignment vertical="center"/>
    </xf>
    <xf numFmtId="0" fontId="12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/>
    </xf>
    <xf numFmtId="0" fontId="11" fillId="9" borderId="1" xfId="4" applyFont="1" applyFill="1" applyBorder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11" fillId="0" borderId="0" xfId="4" applyFont="1" applyAlignment="1"/>
    <xf numFmtId="0" fontId="11" fillId="10" borderId="0" xfId="4" applyFont="1" applyFill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6" fillId="0" borderId="0" xfId="1" applyFont="1"/>
    <xf numFmtId="0" fontId="17" fillId="0" borderId="0" xfId="1" applyFont="1"/>
    <xf numFmtId="0" fontId="1" fillId="4" borderId="0" xfId="1" applyFill="1"/>
    <xf numFmtId="0" fontId="19" fillId="11" borderId="0" xfId="1" applyFont="1" applyFill="1"/>
    <xf numFmtId="164" fontId="1" fillId="12" borderId="0" xfId="1" applyNumberFormat="1" applyFill="1" applyBorder="1" applyAlignment="1">
      <alignment horizontal="center"/>
    </xf>
    <xf numFmtId="0" fontId="1" fillId="12" borderId="0" xfId="1" applyFill="1" applyAlignment="1">
      <alignment horizontal="center"/>
    </xf>
    <xf numFmtId="0" fontId="18" fillId="11" borderId="1" xfId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1" xfId="1" applyNumberFormat="1" applyBorder="1"/>
    <xf numFmtId="10" fontId="1" fillId="12" borderId="0" xfId="1" applyNumberFormat="1" applyFill="1" applyAlignment="1">
      <alignment horizontal="center"/>
    </xf>
    <xf numFmtId="0" fontId="13" fillId="0" borderId="0" xfId="1" applyFont="1"/>
    <xf numFmtId="164" fontId="1" fillId="0" borderId="0" xfId="1" applyNumberFormat="1"/>
    <xf numFmtId="164" fontId="17" fillId="0" borderId="1" xfId="1" applyNumberFormat="1" applyFont="1" applyBorder="1"/>
    <xf numFmtId="164" fontId="17" fillId="0" borderId="0" xfId="1" applyNumberFormat="1" applyFont="1" applyBorder="1"/>
    <xf numFmtId="164" fontId="1" fillId="0" borderId="0" xfId="1" applyNumberFormat="1" applyBorder="1"/>
    <xf numFmtId="0" fontId="18" fillId="6" borderId="0" xfId="1" applyFont="1" applyFill="1" applyAlignment="1">
      <alignment horizontal="left"/>
    </xf>
    <xf numFmtId="9" fontId="1" fillId="12" borderId="0" xfId="1" applyNumberFormat="1" applyFill="1" applyAlignment="1">
      <alignment horizontal="center"/>
    </xf>
    <xf numFmtId="0" fontId="20" fillId="0" borderId="0" xfId="0" applyFont="1" applyAlignment="1">
      <alignment horizontal="left"/>
    </xf>
    <xf numFmtId="0" fontId="19" fillId="13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3" fontId="0" fillId="0" borderId="0" xfId="0" applyNumberFormat="1" applyFill="1" applyAlignment="1">
      <alignment vertical="center"/>
    </xf>
    <xf numFmtId="0" fontId="21" fillId="14" borderId="0" xfId="0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5" borderId="0" xfId="0" applyFill="1" applyAlignment="1">
      <alignment horizontal="left" vertical="center"/>
    </xf>
    <xf numFmtId="0" fontId="0" fillId="15" borderId="0" xfId="0" applyFill="1" applyAlignment="1">
      <alignment vertical="center"/>
    </xf>
    <xf numFmtId="173" fontId="0" fillId="15" borderId="0" xfId="0" applyNumberForma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3" fontId="0" fillId="0" borderId="0" xfId="0" applyNumberFormat="1" applyAlignment="1">
      <alignment horizontal="right" vertical="center"/>
    </xf>
    <xf numFmtId="0" fontId="2" fillId="0" borderId="0" xfId="4" applyAlignment="1">
      <alignment horizontal="center" vertical="center"/>
    </xf>
    <xf numFmtId="0" fontId="5" fillId="5" borderId="0" xfId="4" applyFont="1" applyFill="1" applyAlignment="1">
      <alignment horizontal="center" vertical="center"/>
    </xf>
    <xf numFmtId="0" fontId="2" fillId="0" borderId="0" xfId="4" applyAlignment="1">
      <alignment horizontal="left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12" xfId="7" applyFont="1" applyFill="1" applyBorder="1" applyAlignment="1">
      <alignment horizontal="center" vertical="center" wrapText="1"/>
    </xf>
    <xf numFmtId="0" fontId="7" fillId="6" borderId="13" xfId="7" applyFont="1" applyFill="1" applyBorder="1" applyAlignment="1">
      <alignment horizontal="center" vertical="center" wrapText="1"/>
    </xf>
    <xf numFmtId="0" fontId="7" fillId="6" borderId="14" xfId="7" applyFont="1" applyFill="1" applyBorder="1" applyAlignment="1">
      <alignment horizontal="center" vertical="center" wrapText="1"/>
    </xf>
    <xf numFmtId="0" fontId="2" fillId="0" borderId="0" xfId="4" applyAlignment="1">
      <alignment horizontal="left" vertical="center"/>
    </xf>
    <xf numFmtId="0" fontId="11" fillId="0" borderId="0" xfId="4" applyFont="1" applyAlignment="1">
      <alignment horizontal="left" vertical="center"/>
    </xf>
    <xf numFmtId="0" fontId="6" fillId="5" borderId="0" xfId="4" applyFont="1" applyFill="1" applyAlignment="1">
      <alignment horizontal="center" vertic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left" vertical="center" wrapText="1"/>
    </xf>
    <xf numFmtId="0" fontId="18" fillId="6" borderId="0" xfId="1" applyFont="1" applyFill="1" applyAlignment="1">
      <alignment horizontal="center"/>
    </xf>
    <xf numFmtId="0" fontId="18" fillId="6" borderId="0" xfId="1" applyFont="1" applyFill="1" applyAlignment="1">
      <alignment horizontal="right"/>
    </xf>
  </cellXfs>
  <cellStyles count="26">
    <cellStyle name="Currency 2" xfId="2" xr:uid="{00000000-0005-0000-0000-000000000000}"/>
    <cellStyle name="Euro" xfId="3" xr:uid="{00000000-0005-0000-0000-000001000000}"/>
    <cellStyle name="Hiperligação" xfId="8" builtinId="8" hidden="1"/>
    <cellStyle name="Hiperligação" xfId="10" builtinId="8" hidden="1"/>
    <cellStyle name="Hiperligação" xfId="12" builtinId="8" hidden="1"/>
    <cellStyle name="Hiperligação" xfId="14" builtinId="8" hidden="1"/>
    <cellStyle name="Hiperligação" xfId="16" builtinId="8" hidden="1"/>
    <cellStyle name="Hiperligação" xfId="18" builtinId="8" hidden="1"/>
    <cellStyle name="Hiperligação" xfId="20" builtinId="8" hidden="1"/>
    <cellStyle name="Hiperligação" xfId="22" builtinId="8" hidden="1"/>
    <cellStyle name="Hiperligação" xfId="24" builtinId="8" hidden="1"/>
    <cellStyle name="Hiperligação Visitada" xfId="9" builtinId="9" hidden="1"/>
    <cellStyle name="Hiperligação Visitada" xfId="11" builtinId="9" hidden="1"/>
    <cellStyle name="Hiperligação Visitada" xfId="13" builtinId="9" hidden="1"/>
    <cellStyle name="Hiperligação Visitada" xfId="15" builtinId="9" hidden="1"/>
    <cellStyle name="Hiperligação Visitada" xfId="17" builtinId="9" hidden="1"/>
    <cellStyle name="Hiperligação Visitada" xfId="19" builtinId="9" hidden="1"/>
    <cellStyle name="Hiperligação Visitada" xfId="21" builtinId="9" hidden="1"/>
    <cellStyle name="Hiperligação Visitada" xfId="23" builtinId="9" hidden="1"/>
    <cellStyle name="Hiperligação Visitada" xfId="25" builtinId="9" hidden="1"/>
    <cellStyle name="Normal" xfId="0" builtinId="0"/>
    <cellStyle name="Normal 2" xfId="4" xr:uid="{00000000-0005-0000-0000-000015000000}"/>
    <cellStyle name="Normal 3" xfId="1" xr:uid="{00000000-0005-0000-0000-000016000000}"/>
    <cellStyle name="Normal 5" xfId="5" xr:uid="{00000000-0005-0000-0000-000017000000}"/>
    <cellStyle name="Normal_Calculo Titulos" xfId="7" xr:uid="{00000000-0005-0000-0000-000018000000}"/>
    <cellStyle name="Percent 2" xfId="6" xr:uid="{00000000-0005-0000-0000-000019000000}"/>
  </cellStyles>
  <dxfs count="2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nobastos/Dropbox/Actividade%20Lectiva/2018_2019/1&#186;%20Semestre/MBA/Material%20aulas/Aula%2010/Aula6NOV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pla"/>
      <sheetName val="ER12"/>
      <sheetName val="ER22"/>
      <sheetName val="ER23"/>
      <sheetName val="ER24"/>
      <sheetName val="DESLOC"/>
      <sheetName val="Folha3"/>
      <sheetName val="Folha4"/>
      <sheetName val="ER33"/>
      <sheetName val="ER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Itens em stock</v>
          </cell>
        </row>
        <row r="2">
          <cell r="B2" t="str">
            <v>Item 1</v>
          </cell>
        </row>
        <row r="3">
          <cell r="B3" t="str">
            <v>Item 2</v>
          </cell>
        </row>
        <row r="4">
          <cell r="B4" t="str">
            <v>Item 3</v>
          </cell>
        </row>
        <row r="5">
          <cell r="B5" t="str">
            <v>Item 4</v>
          </cell>
        </row>
        <row r="6">
          <cell r="B6" t="str">
            <v>Item 5</v>
          </cell>
        </row>
        <row r="7">
          <cell r="B7" t="str">
            <v>Item 6</v>
          </cell>
        </row>
        <row r="8">
          <cell r="B8" t="str">
            <v>Item 7</v>
          </cell>
        </row>
        <row r="9">
          <cell r="B9" t="str">
            <v>Item 8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2:F10"/>
  <sheetViews>
    <sheetView workbookViewId="0">
      <selection activeCell="C3" sqref="C3"/>
    </sheetView>
  </sheetViews>
  <sheetFormatPr baseColWidth="10" defaultRowHeight="16"/>
  <sheetData>
    <row r="2" spans="2:6" ht="17">
      <c r="B2" s="68"/>
    </row>
    <row r="3" spans="2:6">
      <c r="B3" s="69"/>
      <c r="C3" s="70" t="str">
        <f ca="1">OFFSET(C5,1,0,1,4)</f>
        <v>Huguinho</v>
      </c>
      <c r="D3" s="70"/>
      <c r="E3" s="71"/>
      <c r="F3" s="72"/>
    </row>
    <row r="4" spans="2:6">
      <c r="C4" s="70"/>
    </row>
    <row r="5" spans="2:6" ht="17">
      <c r="B5" s="73" t="s">
        <v>125</v>
      </c>
      <c r="C5" s="73" t="s">
        <v>126</v>
      </c>
      <c r="D5" s="73" t="s">
        <v>127</v>
      </c>
      <c r="E5" s="73" t="s">
        <v>128</v>
      </c>
      <c r="F5" s="73" t="s">
        <v>129</v>
      </c>
    </row>
    <row r="6" spans="2:6">
      <c r="B6" s="74">
        <v>1</v>
      </c>
      <c r="C6" s="75" t="s">
        <v>130</v>
      </c>
      <c r="D6" s="74" t="s">
        <v>131</v>
      </c>
      <c r="E6" s="76" t="s">
        <v>132</v>
      </c>
      <c r="F6" s="77">
        <v>200000</v>
      </c>
    </row>
    <row r="7" spans="2:6">
      <c r="B7" s="78">
        <v>2</v>
      </c>
      <c r="C7" s="79" t="s">
        <v>133</v>
      </c>
      <c r="D7" s="78" t="s">
        <v>131</v>
      </c>
      <c r="E7" s="80" t="s">
        <v>134</v>
      </c>
      <c r="F7" s="81">
        <v>105000</v>
      </c>
    </row>
    <row r="8" spans="2:6">
      <c r="B8" s="74">
        <v>3</v>
      </c>
      <c r="C8" s="75" t="s">
        <v>135</v>
      </c>
      <c r="D8" s="74" t="s">
        <v>136</v>
      </c>
      <c r="E8" s="76" t="s">
        <v>137</v>
      </c>
      <c r="F8" s="77">
        <v>140000</v>
      </c>
    </row>
    <row r="9" spans="2:6">
      <c r="B9" s="78">
        <v>4</v>
      </c>
      <c r="C9" s="79" t="s">
        <v>138</v>
      </c>
      <c r="D9" s="78" t="s">
        <v>139</v>
      </c>
      <c r="E9" s="80" t="s">
        <v>140</v>
      </c>
      <c r="F9" s="81">
        <v>180000</v>
      </c>
    </row>
    <row r="10" spans="2:6">
      <c r="B10" s="74">
        <v>5</v>
      </c>
      <c r="C10" s="75" t="s">
        <v>141</v>
      </c>
      <c r="D10" s="74" t="s">
        <v>142</v>
      </c>
      <c r="E10" s="76" t="s">
        <v>143</v>
      </c>
      <c r="F10" s="77">
        <v>165000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O21"/>
  <sheetViews>
    <sheetView topLeftCell="A2" workbookViewId="0">
      <selection activeCell="F37" sqref="F37"/>
    </sheetView>
  </sheetViews>
  <sheetFormatPr baseColWidth="10" defaultColWidth="8.83203125" defaultRowHeight="15"/>
  <cols>
    <col min="1" max="1" width="14.5" style="1" bestFit="1" customWidth="1"/>
    <col min="2" max="2" width="8.83203125" style="1"/>
    <col min="3" max="3" width="14.5" style="1" bestFit="1" customWidth="1"/>
    <col min="4" max="4" width="18" style="1" bestFit="1" customWidth="1"/>
    <col min="5" max="5" width="18" style="1" customWidth="1"/>
    <col min="6" max="8" width="8.83203125" style="1"/>
    <col min="9" max="9" width="19.83203125" style="1" customWidth="1"/>
    <col min="10" max="10" width="16" style="1" customWidth="1"/>
    <col min="11" max="16384" width="8.83203125" style="1"/>
  </cols>
  <sheetData>
    <row r="1" spans="1:15">
      <c r="A1" s="1" t="s">
        <v>0</v>
      </c>
      <c r="C1" s="1" t="s">
        <v>1</v>
      </c>
      <c r="D1" s="1" t="s">
        <v>2</v>
      </c>
      <c r="E1" s="1" t="s">
        <v>3</v>
      </c>
    </row>
    <row r="2" spans="1:15">
      <c r="A2" s="2" t="s">
        <v>4</v>
      </c>
      <c r="C2" s="3" t="s">
        <v>4</v>
      </c>
      <c r="D2" s="4" t="s">
        <v>5</v>
      </c>
      <c r="E2" s="5">
        <v>10</v>
      </c>
    </row>
    <row r="3" spans="1:15">
      <c r="A3" s="2" t="s">
        <v>6</v>
      </c>
      <c r="C3" s="6" t="s">
        <v>4</v>
      </c>
      <c r="D3" s="7" t="s">
        <v>7</v>
      </c>
      <c r="E3" s="8">
        <v>14</v>
      </c>
    </row>
    <row r="4" spans="1:15">
      <c r="A4" s="2" t="s">
        <v>8</v>
      </c>
      <c r="C4" s="6" t="s">
        <v>4</v>
      </c>
      <c r="D4" s="7" t="s">
        <v>9</v>
      </c>
      <c r="E4" s="8">
        <v>18</v>
      </c>
    </row>
    <row r="5" spans="1:15">
      <c r="A5" s="9" t="s">
        <v>10</v>
      </c>
      <c r="C5" s="6" t="s">
        <v>4</v>
      </c>
      <c r="D5" s="7" t="s">
        <v>11</v>
      </c>
      <c r="E5" s="8">
        <v>19</v>
      </c>
    </row>
    <row r="6" spans="1:15">
      <c r="C6" s="6" t="s">
        <v>4</v>
      </c>
      <c r="D6" s="7" t="s">
        <v>12</v>
      </c>
      <c r="E6" s="8">
        <v>14</v>
      </c>
      <c r="I6" s="2" t="s">
        <v>6</v>
      </c>
      <c r="J6" s="10" t="s">
        <v>13</v>
      </c>
      <c r="K6" s="11">
        <f>VLOOKUP(J6,D2:E21,2,0)</f>
        <v>17</v>
      </c>
    </row>
    <row r="7" spans="1:15">
      <c r="C7" s="12" t="s">
        <v>4</v>
      </c>
      <c r="D7" s="13" t="s">
        <v>14</v>
      </c>
      <c r="E7" s="14">
        <v>12</v>
      </c>
      <c r="M7" s="15" t="s">
        <v>15</v>
      </c>
    </row>
    <row r="8" spans="1:15">
      <c r="C8" s="3" t="s">
        <v>6</v>
      </c>
      <c r="D8" s="4" t="s">
        <v>16</v>
      </c>
      <c r="E8" s="5">
        <v>24</v>
      </c>
    </row>
    <row r="9" spans="1:15">
      <c r="C9" s="6" t="s">
        <v>6</v>
      </c>
      <c r="D9" s="7" t="s">
        <v>17</v>
      </c>
      <c r="E9" s="8">
        <v>14</v>
      </c>
    </row>
    <row r="10" spans="1:15">
      <c r="C10" s="6" t="s">
        <v>6</v>
      </c>
      <c r="D10" s="7" t="s">
        <v>13</v>
      </c>
      <c r="E10" s="8">
        <v>17</v>
      </c>
      <c r="N10" s="16" t="s">
        <v>18</v>
      </c>
      <c r="O10" s="16">
        <f>MATCH(I6,C2:C21,0)</f>
        <v>7</v>
      </c>
    </row>
    <row r="11" spans="1:15">
      <c r="C11" s="6" t="s">
        <v>6</v>
      </c>
      <c r="D11" s="7" t="s">
        <v>19</v>
      </c>
      <c r="E11" s="8">
        <v>11</v>
      </c>
      <c r="N11" s="16" t="s">
        <v>20</v>
      </c>
      <c r="O11" s="16">
        <f>COUNTIF(C2:C21,I6)</f>
        <v>6</v>
      </c>
    </row>
    <row r="12" spans="1:15">
      <c r="C12" s="6" t="s">
        <v>6</v>
      </c>
      <c r="D12" s="7" t="s">
        <v>21</v>
      </c>
      <c r="E12" s="8">
        <v>16</v>
      </c>
    </row>
    <row r="13" spans="1:15">
      <c r="C13" s="12" t="s">
        <v>6</v>
      </c>
      <c r="D13" s="13" t="s">
        <v>22</v>
      </c>
      <c r="E13" s="14">
        <v>21</v>
      </c>
    </row>
    <row r="14" spans="1:15">
      <c r="C14" s="3" t="s">
        <v>8</v>
      </c>
      <c r="D14" s="4" t="s">
        <v>23</v>
      </c>
      <c r="E14" s="5">
        <v>7</v>
      </c>
    </row>
    <row r="15" spans="1:15">
      <c r="C15" s="6" t="s">
        <v>8</v>
      </c>
      <c r="D15" s="7" t="s">
        <v>24</v>
      </c>
      <c r="E15" s="8">
        <v>4</v>
      </c>
    </row>
    <row r="16" spans="1:15">
      <c r="C16" s="6" t="s">
        <v>8</v>
      </c>
      <c r="D16" s="7" t="s">
        <v>25</v>
      </c>
      <c r="E16" s="8">
        <v>15</v>
      </c>
    </row>
    <row r="17" spans="3:5">
      <c r="C17" s="6" t="s">
        <v>8</v>
      </c>
      <c r="D17" s="7" t="s">
        <v>26</v>
      </c>
      <c r="E17" s="8">
        <v>14</v>
      </c>
    </row>
    <row r="18" spans="3:5">
      <c r="C18" s="6" t="s">
        <v>8</v>
      </c>
      <c r="D18" s="7" t="s">
        <v>27</v>
      </c>
      <c r="E18" s="8">
        <v>14</v>
      </c>
    </row>
    <row r="19" spans="3:5">
      <c r="C19" s="6" t="s">
        <v>8</v>
      </c>
      <c r="D19" s="7" t="s">
        <v>28</v>
      </c>
      <c r="E19" s="14">
        <v>16</v>
      </c>
    </row>
    <row r="20" spans="3:5">
      <c r="C20" s="17" t="s">
        <v>10</v>
      </c>
      <c r="D20" s="4" t="s">
        <v>29</v>
      </c>
      <c r="E20" s="18">
        <v>11</v>
      </c>
    </row>
    <row r="21" spans="3:5">
      <c r="C21" s="19" t="s">
        <v>10</v>
      </c>
      <c r="D21" s="13" t="s">
        <v>30</v>
      </c>
      <c r="E21" s="20">
        <v>19</v>
      </c>
    </row>
  </sheetData>
  <dataValidations disablePrompts="1" count="2">
    <dataValidation type="list" allowBlank="1" showInputMessage="1" showErrorMessage="1" sqref="I6" xr:uid="{00000000-0002-0000-0100-000000000000}">
      <formula1>$A$2:$A$5</formula1>
    </dataValidation>
    <dataValidation type="list" allowBlank="1" showInputMessage="1" showErrorMessage="1" sqref="J6" xr:uid="{00000000-0002-0000-0100-000001000000}">
      <formula1>OFFSET($D$2,MATCH($I$6,$C$2:$C$21,0)-1,0,COUNTIF($C$2:$C$21,$I$6),1)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D21"/>
  <sheetViews>
    <sheetView topLeftCell="A6" zoomScale="200" zoomScaleNormal="200" zoomScalePageLayoutView="200" workbookViewId="0">
      <selection activeCell="A24" sqref="A24:G24"/>
    </sheetView>
  </sheetViews>
  <sheetFormatPr baseColWidth="10" defaultColWidth="7.5" defaultRowHeight="11"/>
  <cols>
    <col min="1" max="1" width="3.6640625" style="22" customWidth="1"/>
    <col min="2" max="2" width="12.83203125" style="22" bestFit="1" customWidth="1"/>
    <col min="3" max="3" width="9.5" style="22" bestFit="1" customWidth="1"/>
    <col min="4" max="4" width="3.6640625" style="22" customWidth="1"/>
    <col min="5" max="16384" width="7.5" style="21"/>
  </cols>
  <sheetData>
    <row r="1" spans="1:4" ht="14">
      <c r="A1" s="83" t="s">
        <v>31</v>
      </c>
      <c r="B1" s="83"/>
      <c r="C1" s="83"/>
      <c r="D1" s="83"/>
    </row>
    <row r="3" spans="1:4">
      <c r="B3" s="23" t="s">
        <v>32</v>
      </c>
      <c r="C3" s="24">
        <v>100000</v>
      </c>
    </row>
    <row r="4" spans="1:4" ht="16">
      <c r="B4" s="23" t="s">
        <v>33</v>
      </c>
      <c r="C4" s="25">
        <v>4.9950000000000001E-2</v>
      </c>
    </row>
    <row r="5" spans="1:4" ht="16">
      <c r="B5" s="23" t="s">
        <v>34</v>
      </c>
      <c r="C5" s="25">
        <v>3.5000000000000001E-3</v>
      </c>
    </row>
    <row r="6" spans="1:4">
      <c r="B6" s="23" t="s">
        <v>35</v>
      </c>
      <c r="C6" s="26">
        <v>30</v>
      </c>
    </row>
    <row r="7" spans="1:4" ht="12" thickBot="1"/>
    <row r="8" spans="1:4" ht="12" thickBot="1">
      <c r="B8" s="23" t="s">
        <v>36</v>
      </c>
      <c r="C8" s="27">
        <f>-PMT((C4+C5)/12,C6*12,C3)</f>
        <v>558.10242738897352</v>
      </c>
    </row>
    <row r="10" spans="1:4" ht="14">
      <c r="A10" s="50"/>
    </row>
    <row r="11" spans="1:4" ht="36" customHeight="1">
      <c r="A11" s="84" t="s">
        <v>69</v>
      </c>
      <c r="B11" s="84"/>
      <c r="C11" s="84"/>
    </row>
    <row r="13" spans="1:4" ht="58" customHeight="1">
      <c r="A13" s="84" t="s">
        <v>70</v>
      </c>
      <c r="B13" s="84"/>
      <c r="C13" s="84"/>
    </row>
    <row r="15" spans="1:4" ht="58" customHeight="1">
      <c r="A15" s="84" t="s">
        <v>71</v>
      </c>
      <c r="B15" s="84"/>
      <c r="C15" s="84"/>
    </row>
    <row r="17" spans="1:3">
      <c r="A17" s="82"/>
      <c r="B17" s="82"/>
      <c r="C17" s="82"/>
    </row>
    <row r="19" spans="1:3">
      <c r="A19" s="82"/>
      <c r="B19" s="82"/>
      <c r="C19" s="82"/>
    </row>
    <row r="21" spans="1:3">
      <c r="A21" s="82"/>
      <c r="B21" s="82"/>
      <c r="C21" s="82"/>
    </row>
  </sheetData>
  <mergeCells count="7">
    <mergeCell ref="A21:C21"/>
    <mergeCell ref="A1:D1"/>
    <mergeCell ref="A11:C11"/>
    <mergeCell ref="A13:C13"/>
    <mergeCell ref="A15:C15"/>
    <mergeCell ref="A17:C17"/>
    <mergeCell ref="A19:C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L30"/>
  <sheetViews>
    <sheetView topLeftCell="A4" zoomScale="200" zoomScaleNormal="200" zoomScalePageLayoutView="200" workbookViewId="0">
      <selection activeCell="A24" sqref="A24:G24"/>
    </sheetView>
  </sheetViews>
  <sheetFormatPr baseColWidth="10" defaultColWidth="7.5" defaultRowHeight="11"/>
  <cols>
    <col min="1" max="1" width="18.33203125" style="21" bestFit="1" customWidth="1"/>
    <col min="2" max="2" width="4.33203125" style="21" bestFit="1" customWidth="1"/>
    <col min="3" max="3" width="7" style="22" bestFit="1" customWidth="1"/>
    <col min="4" max="5" width="9.83203125" style="22" customWidth="1"/>
    <col min="6" max="6" width="8.6640625" style="22" bestFit="1" customWidth="1"/>
    <col min="7" max="7" width="8.33203125" style="22" customWidth="1"/>
    <col min="8" max="8" width="8.33203125" style="21" customWidth="1"/>
    <col min="9" max="9" width="8.33203125" style="21" bestFit="1" customWidth="1"/>
    <col min="10" max="10" width="8.33203125" style="21" customWidth="1"/>
    <col min="11" max="11" width="9.6640625" style="21" customWidth="1"/>
    <col min="12" max="12" width="8" style="21" customWidth="1"/>
    <col min="13" max="16384" width="7.5" style="21"/>
  </cols>
  <sheetData>
    <row r="1" spans="1:12" ht="12.75" customHeight="1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36">
      <c r="A2" s="28" t="s">
        <v>38</v>
      </c>
      <c r="B2" s="28" t="s">
        <v>39</v>
      </c>
      <c r="C2" s="28" t="s">
        <v>40</v>
      </c>
      <c r="D2" s="28" t="s">
        <v>41</v>
      </c>
      <c r="E2" s="28" t="s">
        <v>42</v>
      </c>
      <c r="F2" s="28" t="s">
        <v>43</v>
      </c>
      <c r="G2" s="28" t="s">
        <v>44</v>
      </c>
      <c r="H2" s="28" t="s">
        <v>45</v>
      </c>
      <c r="I2" s="28" t="s">
        <v>46</v>
      </c>
      <c r="J2" s="28" t="s">
        <v>47</v>
      </c>
      <c r="K2" s="28" t="s">
        <v>48</v>
      </c>
      <c r="L2" s="28" t="s">
        <v>49</v>
      </c>
    </row>
    <row r="3" spans="1:12" ht="16">
      <c r="A3" s="29" t="s">
        <v>50</v>
      </c>
      <c r="B3" s="30">
        <v>5</v>
      </c>
      <c r="C3" s="31" t="s">
        <v>51</v>
      </c>
      <c r="D3" s="32">
        <v>5000</v>
      </c>
      <c r="E3" s="33">
        <v>7735.5</v>
      </c>
      <c r="F3" s="34">
        <v>14.078568455290501</v>
      </c>
      <c r="G3" s="35">
        <f>E3/F3</f>
        <v>549.45217083439491</v>
      </c>
      <c r="H3" s="36">
        <v>574.83000000000004</v>
      </c>
      <c r="I3" s="33">
        <f>H3-G3</f>
        <v>25.377829165605135</v>
      </c>
      <c r="J3" s="37">
        <f>H3/G3-1</f>
        <v>4.6187512785810902E-2</v>
      </c>
      <c r="K3" s="32">
        <f>(IF(ISNUMBER(C3),(F3*H3)*(1-C3),(F3*H3)))/$K$14</f>
        <v>5472.904243696923</v>
      </c>
      <c r="L3" s="32">
        <f>K3-D3</f>
        <v>472.904243696923</v>
      </c>
    </row>
    <row r="4" spans="1:12" ht="16">
      <c r="A4" s="29" t="s">
        <v>52</v>
      </c>
      <c r="B4" s="26">
        <v>5</v>
      </c>
      <c r="C4" s="31">
        <v>1.4999999999999999E-2</v>
      </c>
      <c r="D4" s="32">
        <v>2000</v>
      </c>
      <c r="E4" s="33">
        <v>3105.8</v>
      </c>
      <c r="F4" s="34">
        <v>94.506792675723588</v>
      </c>
      <c r="G4" s="35">
        <f t="shared" ref="G4:G7" si="0">E4/F4</f>
        <v>32.863246249999996</v>
      </c>
      <c r="H4" s="36">
        <v>33.86</v>
      </c>
      <c r="I4" s="33">
        <f t="shared" ref="I4:I7" si="1">H4-G4</f>
        <v>0.99675375000000344</v>
      </c>
      <c r="J4" s="37">
        <f t="shared" ref="J4:J7" si="2">H4/G4-1</f>
        <v>3.0330349668362455E-2</v>
      </c>
      <c r="K4" s="32">
        <f>(IF(ISNUMBER(C4),(F4*H4)*(1-C4),(F4*H4)))/$K$14</f>
        <v>2131.6020829106651</v>
      </c>
      <c r="L4" s="32">
        <f>K4-D4</f>
        <v>131.6020829106651</v>
      </c>
    </row>
    <row r="5" spans="1:12" ht="16">
      <c r="A5" s="29" t="s">
        <v>53</v>
      </c>
      <c r="B5" s="26">
        <v>4</v>
      </c>
      <c r="C5" s="31">
        <v>1.4999999999999999E-2</v>
      </c>
      <c r="D5" s="32">
        <v>1250</v>
      </c>
      <c r="E5" s="33">
        <v>1946.75</v>
      </c>
      <c r="F5" s="34">
        <v>5.98357924076711</v>
      </c>
      <c r="G5" s="35">
        <f t="shared" si="0"/>
        <v>325.34874556962023</v>
      </c>
      <c r="H5" s="36">
        <v>330.07</v>
      </c>
      <c r="I5" s="33">
        <f t="shared" si="1"/>
        <v>4.7212544303797586</v>
      </c>
      <c r="J5" s="37">
        <f t="shared" si="2"/>
        <v>1.4511365095672302E-2</v>
      </c>
      <c r="K5" s="32">
        <f>(IF(ISNUMBER(C5),(F5*H5)*(1-C5),(F5*H5)))/$K$14</f>
        <v>1315.598160546426</v>
      </c>
      <c r="L5" s="32">
        <f>K5-D5</f>
        <v>65.598160546426016</v>
      </c>
    </row>
    <row r="6" spans="1:12" ht="16">
      <c r="A6" s="29" t="s">
        <v>54</v>
      </c>
      <c r="B6" s="26">
        <v>4</v>
      </c>
      <c r="C6" s="31">
        <v>2.1399999999999999E-2</v>
      </c>
      <c r="D6" s="32">
        <v>1000</v>
      </c>
      <c r="E6" s="33">
        <v>1554.1</v>
      </c>
      <c r="F6" s="34">
        <v>4.7910382368979283</v>
      </c>
      <c r="G6" s="35">
        <f t="shared" si="0"/>
        <v>324.37645519736844</v>
      </c>
      <c r="H6" s="36">
        <v>352.51</v>
      </c>
      <c r="I6" s="33">
        <f t="shared" si="1"/>
        <v>28.133544802631548</v>
      </c>
      <c r="J6" s="37">
        <f t="shared" si="2"/>
        <v>8.673115558129374E-2</v>
      </c>
      <c r="K6" s="32">
        <f>(IF(ISNUMBER(C6),(F6*H6)*(1-C6),(F6*H6)))/$K$14</f>
        <v>1117.7024864182501</v>
      </c>
      <c r="L6" s="32">
        <f>K6-D6</f>
        <v>117.70248641825015</v>
      </c>
    </row>
    <row r="7" spans="1:12" ht="16">
      <c r="A7" s="29" t="s">
        <v>55</v>
      </c>
      <c r="B7" s="26">
        <v>3</v>
      </c>
      <c r="C7" s="31">
        <v>2.2499999999999999E-2</v>
      </c>
      <c r="D7" s="32">
        <v>1000</v>
      </c>
      <c r="E7" s="33">
        <v>1556.6</v>
      </c>
      <c r="F7" s="34">
        <v>9.1574295443019622</v>
      </c>
      <c r="G7" s="35">
        <f t="shared" si="0"/>
        <v>169.98219778481013</v>
      </c>
      <c r="H7" s="36">
        <v>161.25</v>
      </c>
      <c r="I7" s="33">
        <f t="shared" si="1"/>
        <v>-8.7321977848101255</v>
      </c>
      <c r="J7" s="37">
        <f t="shared" si="2"/>
        <v>-5.1371248863746888E-2</v>
      </c>
      <c r="K7" s="32">
        <f>(IF(ISNUMBER(C7),(F7*H7)*(1-C7),(F7*H7)))/$K$14</f>
        <v>976.1352640517149</v>
      </c>
      <c r="L7" s="32">
        <f>K7-D7</f>
        <v>-23.864735948285102</v>
      </c>
    </row>
    <row r="8" spans="1:12" ht="16">
      <c r="A8" s="29"/>
      <c r="B8" s="26"/>
      <c r="C8" s="31"/>
      <c r="D8" s="32"/>
      <c r="E8" s="33"/>
      <c r="F8" s="34"/>
      <c r="G8" s="35"/>
      <c r="H8" s="36"/>
      <c r="I8" s="33"/>
      <c r="J8" s="38"/>
      <c r="K8" s="32"/>
      <c r="L8" s="32"/>
    </row>
    <row r="9" spans="1:12" ht="16">
      <c r="A9" s="29"/>
      <c r="B9" s="26"/>
      <c r="C9" s="31"/>
      <c r="D9" s="32"/>
      <c r="E9" s="33"/>
      <c r="F9" s="34"/>
      <c r="G9" s="35"/>
      <c r="H9" s="36"/>
      <c r="I9" s="33"/>
      <c r="J9" s="38"/>
      <c r="K9" s="32"/>
      <c r="L9" s="32"/>
    </row>
    <row r="10" spans="1:12" ht="16">
      <c r="A10" s="29"/>
      <c r="B10" s="26"/>
      <c r="C10" s="31"/>
      <c r="D10" s="32"/>
      <c r="E10" s="33"/>
      <c r="F10" s="34"/>
      <c r="G10" s="35"/>
      <c r="H10" s="36"/>
      <c r="I10" s="33"/>
      <c r="J10" s="38"/>
      <c r="K10" s="32"/>
      <c r="L10" s="32"/>
    </row>
    <row r="11" spans="1:12" ht="16">
      <c r="A11" s="29"/>
      <c r="B11" s="26"/>
      <c r="C11" s="31"/>
      <c r="D11" s="32"/>
      <c r="E11" s="33"/>
      <c r="F11" s="34"/>
      <c r="G11" s="35"/>
      <c r="H11" s="36"/>
      <c r="I11" s="33"/>
      <c r="J11" s="38"/>
      <c r="K11" s="32"/>
      <c r="L11" s="32"/>
    </row>
    <row r="12" spans="1:12">
      <c r="D12" s="39">
        <f>SUM(D3:D11)</f>
        <v>10250</v>
      </c>
      <c r="E12" s="40">
        <f>SUM(E3:E11)</f>
        <v>15898.75</v>
      </c>
      <c r="K12" s="39">
        <f>SUM(K3:K11)</f>
        <v>11013.942237623978</v>
      </c>
      <c r="L12" s="39">
        <f>SUM(L3:L11)</f>
        <v>763.94223762397917</v>
      </c>
    </row>
    <row r="13" spans="1:12">
      <c r="F13" s="21"/>
      <c r="G13" s="21"/>
    </row>
    <row r="14" spans="1:12" ht="11.25" customHeight="1">
      <c r="F14" s="21"/>
      <c r="G14" s="21"/>
      <c r="I14" s="87" t="s">
        <v>56</v>
      </c>
      <c r="J14" s="88"/>
      <c r="K14" s="41">
        <v>1.4786999999999999</v>
      </c>
    </row>
    <row r="15" spans="1:12">
      <c r="F15" s="21"/>
      <c r="G15" s="21"/>
      <c r="H15" s="22"/>
    </row>
    <row r="16" spans="1:12">
      <c r="G16" s="21"/>
      <c r="H16" s="22"/>
    </row>
    <row r="17" spans="1:12" ht="26" customHeight="1">
      <c r="A17" s="89" t="s">
        <v>72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A18" s="21" t="s">
        <v>73</v>
      </c>
    </row>
    <row r="19" spans="1:12">
      <c r="A19" s="21" t="s">
        <v>74</v>
      </c>
    </row>
    <row r="20" spans="1:12">
      <c r="A20" s="21" t="s">
        <v>75</v>
      </c>
    </row>
    <row r="22" spans="1:12">
      <c r="A22" s="21" t="s">
        <v>76</v>
      </c>
    </row>
    <row r="24" spans="1:12">
      <c r="A24" s="21" t="s">
        <v>77</v>
      </c>
    </row>
    <row r="26" spans="1:12">
      <c r="A26" s="21" t="s">
        <v>78</v>
      </c>
    </row>
    <row r="28" spans="1:12">
      <c r="A28" s="21" t="s">
        <v>79</v>
      </c>
    </row>
    <row r="30" spans="1:12">
      <c r="A30" s="21" t="s">
        <v>80</v>
      </c>
    </row>
  </sheetData>
  <mergeCells count="3">
    <mergeCell ref="A1:L1"/>
    <mergeCell ref="I14:J14"/>
    <mergeCell ref="A17:L17"/>
  </mergeCells>
  <conditionalFormatting sqref="L3:L11">
    <cfRule type="expression" dxfId="1" priority="1">
      <formula>$K3&lt;$D3</formula>
    </cfRule>
    <cfRule type="expression" dxfId="0" priority="2">
      <formula>$K3&gt;$D3</formula>
    </cfRule>
  </conditionalFormatting>
  <pageMargins left="0.7" right="0.7" top="0.75" bottom="0.75" header="0.3" footer="0.3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H28"/>
  <sheetViews>
    <sheetView tabSelected="1" zoomScale="200" zoomScaleNormal="200" zoomScalePageLayoutView="200" workbookViewId="0">
      <selection activeCell="E7" sqref="E7"/>
    </sheetView>
  </sheetViews>
  <sheetFormatPr baseColWidth="10" defaultColWidth="7.5" defaultRowHeight="11"/>
  <cols>
    <col min="1" max="1" width="3.5" style="43" customWidth="1"/>
    <col min="2" max="2" width="9.33203125" style="43" customWidth="1"/>
    <col min="3" max="5" width="7.5" style="43"/>
    <col min="6" max="6" width="2.6640625" style="45" bestFit="1" customWidth="1"/>
    <col min="7" max="7" width="7.5" style="43"/>
    <col min="8" max="8" width="3.5" style="43" customWidth="1"/>
    <col min="9" max="9" width="3.5" style="42" customWidth="1"/>
    <col min="10" max="16384" width="7.5" style="42"/>
  </cols>
  <sheetData>
    <row r="1" spans="1:8" ht="14">
      <c r="A1" s="91" t="s">
        <v>57</v>
      </c>
      <c r="B1" s="91"/>
      <c r="C1" s="91"/>
      <c r="D1" s="91"/>
      <c r="E1" s="91"/>
      <c r="F1" s="91"/>
      <c r="G1" s="91"/>
      <c r="H1" s="91"/>
    </row>
    <row r="3" spans="1:8">
      <c r="B3" s="44" t="s">
        <v>58</v>
      </c>
    </row>
    <row r="4" spans="1:8">
      <c r="C4" s="45" t="s">
        <v>59</v>
      </c>
      <c r="D4" s="46"/>
    </row>
    <row r="5" spans="1:8">
      <c r="C5" s="45" t="s">
        <v>60</v>
      </c>
      <c r="D5" s="46"/>
    </row>
    <row r="7" spans="1:8">
      <c r="B7" s="47" t="s">
        <v>61</v>
      </c>
      <c r="C7" s="92" t="s">
        <v>62</v>
      </c>
      <c r="D7" s="92"/>
      <c r="E7" s="48">
        <f>D4*10+D5*20</f>
        <v>0</v>
      </c>
    </row>
    <row r="9" spans="1:8">
      <c r="B9" s="47" t="s">
        <v>63</v>
      </c>
      <c r="C9" s="45" t="s">
        <v>64</v>
      </c>
      <c r="D9" s="45" t="s">
        <v>60</v>
      </c>
      <c r="E9" s="45"/>
      <c r="G9" s="45"/>
      <c r="H9" s="45"/>
    </row>
    <row r="10" spans="1:8">
      <c r="B10" s="23" t="s">
        <v>65</v>
      </c>
      <c r="C10" s="45"/>
      <c r="D10" s="45"/>
      <c r="E10" s="49">
        <f>C10*$D$4+D10*$D$5</f>
        <v>0</v>
      </c>
      <c r="F10" s="45" t="s">
        <v>66</v>
      </c>
      <c r="G10" s="45"/>
      <c r="H10" s="45"/>
    </row>
    <row r="11" spans="1:8">
      <c r="A11" s="45"/>
      <c r="B11" s="23" t="s">
        <v>67</v>
      </c>
      <c r="C11" s="45"/>
      <c r="D11" s="45"/>
      <c r="E11" s="49">
        <f>C11*$D$4+D11*$D$5</f>
        <v>0</v>
      </c>
      <c r="F11" s="45" t="s">
        <v>66</v>
      </c>
      <c r="G11" s="45"/>
      <c r="H11" s="45"/>
    </row>
    <row r="12" spans="1:8">
      <c r="A12" s="45"/>
      <c r="B12" s="23" t="s">
        <v>68</v>
      </c>
      <c r="C12" s="45"/>
      <c r="D12" s="45"/>
      <c r="E12" s="49">
        <f>C12*$D$4+D12*$D$5</f>
        <v>0</v>
      </c>
      <c r="F12" s="45" t="s">
        <v>66</v>
      </c>
      <c r="G12" s="45"/>
      <c r="H12" s="45"/>
    </row>
    <row r="13" spans="1:8">
      <c r="A13" s="45"/>
      <c r="B13" s="23"/>
      <c r="F13" s="43"/>
    </row>
    <row r="14" spans="1:8">
      <c r="A14" s="45"/>
      <c r="F14" s="43"/>
    </row>
    <row r="15" spans="1:8">
      <c r="A15" s="45"/>
      <c r="F15" s="43"/>
    </row>
    <row r="16" spans="1:8">
      <c r="A16" s="45"/>
      <c r="C16" s="45"/>
      <c r="D16" s="45"/>
      <c r="E16" s="45"/>
      <c r="G16" s="45"/>
      <c r="H16" s="45"/>
    </row>
    <row r="17" spans="1:7" s="42" customFormat="1">
      <c r="A17" s="45"/>
    </row>
    <row r="18" spans="1:7" s="42" customFormat="1">
      <c r="A18" s="45"/>
    </row>
    <row r="21" spans="1:7">
      <c r="A21" s="90" t="s">
        <v>81</v>
      </c>
      <c r="B21" s="90"/>
      <c r="C21" s="90"/>
      <c r="D21" s="90"/>
      <c r="E21" s="90"/>
      <c r="F21" s="90"/>
      <c r="G21" s="90"/>
    </row>
    <row r="23" spans="1:7" ht="41" customHeight="1">
      <c r="A23" s="93" t="s">
        <v>82</v>
      </c>
      <c r="B23" s="93"/>
      <c r="C23" s="93"/>
      <c r="D23" s="93"/>
      <c r="E23" s="93"/>
      <c r="F23" s="93"/>
      <c r="G23" s="93"/>
    </row>
    <row r="24" spans="1:7" ht="59" customHeight="1">
      <c r="A24" s="93" t="s">
        <v>83</v>
      </c>
      <c r="B24" s="93"/>
      <c r="C24" s="93"/>
      <c r="D24" s="93"/>
      <c r="E24" s="93"/>
      <c r="F24" s="93"/>
      <c r="G24" s="93"/>
    </row>
    <row r="26" spans="1:7" ht="31" customHeight="1">
      <c r="A26" s="93" t="s">
        <v>84</v>
      </c>
      <c r="B26" s="93"/>
      <c r="C26" s="93"/>
      <c r="D26" s="93"/>
      <c r="E26" s="93"/>
      <c r="F26" s="93"/>
      <c r="G26" s="93"/>
    </row>
    <row r="28" spans="1:7">
      <c r="A28" s="90"/>
      <c r="B28" s="90"/>
      <c r="C28" s="90"/>
      <c r="D28" s="90"/>
      <c r="E28" s="90"/>
      <c r="F28" s="90"/>
      <c r="G28" s="90"/>
    </row>
  </sheetData>
  <mergeCells count="7">
    <mergeCell ref="A28:G28"/>
    <mergeCell ref="A1:H1"/>
    <mergeCell ref="C7:D7"/>
    <mergeCell ref="A21:G21"/>
    <mergeCell ref="A23:G23"/>
    <mergeCell ref="A24:G24"/>
    <mergeCell ref="A26:G26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P12"/>
  <sheetViews>
    <sheetView workbookViewId="0">
      <selection activeCell="M44" sqref="M44"/>
    </sheetView>
  </sheetViews>
  <sheetFormatPr baseColWidth="10" defaultColWidth="8.83203125" defaultRowHeight="15"/>
  <cols>
    <col min="1" max="1" width="29.1640625" style="1" customWidth="1"/>
    <col min="2" max="2" width="11.5" style="1" bestFit="1" customWidth="1"/>
    <col min="3" max="3" width="1.83203125" style="1" customWidth="1"/>
    <col min="4" max="4" width="8.83203125" style="1"/>
    <col min="5" max="8" width="12" style="1" customWidth="1"/>
    <col min="9" max="16384" width="8.83203125" style="1"/>
  </cols>
  <sheetData>
    <row r="1" spans="1:16" ht="21">
      <c r="A1" s="51" t="s">
        <v>85</v>
      </c>
    </row>
    <row r="2" spans="1:16">
      <c r="A2" s="52"/>
    </row>
    <row r="3" spans="1:16">
      <c r="A3" s="94" t="s">
        <v>86</v>
      </c>
      <c r="B3" s="94"/>
      <c r="D3" s="94" t="s">
        <v>87</v>
      </c>
      <c r="E3" s="94"/>
      <c r="F3" s="94"/>
      <c r="G3" s="94"/>
      <c r="H3" s="94"/>
      <c r="K3" s="53" t="s">
        <v>88</v>
      </c>
      <c r="L3" s="53"/>
    </row>
    <row r="4" spans="1:16">
      <c r="A4" s="54" t="s">
        <v>89</v>
      </c>
      <c r="B4" s="55">
        <v>120000</v>
      </c>
      <c r="K4" s="53" t="s">
        <v>90</v>
      </c>
      <c r="L4" s="53"/>
      <c r="M4" s="53"/>
      <c r="N4" s="53"/>
      <c r="O4" s="53"/>
      <c r="P4" s="53"/>
    </row>
    <row r="5" spans="1:16">
      <c r="A5" s="54" t="s">
        <v>91</v>
      </c>
      <c r="B5" s="56">
        <v>6</v>
      </c>
      <c r="D5" s="57" t="s">
        <v>92</v>
      </c>
      <c r="E5" s="57" t="s">
        <v>93</v>
      </c>
      <c r="F5" s="57" t="s">
        <v>94</v>
      </c>
      <c r="G5" s="57" t="s">
        <v>95</v>
      </c>
      <c r="H5" s="57" t="s">
        <v>96</v>
      </c>
      <c r="K5" s="53" t="s">
        <v>97</v>
      </c>
      <c r="L5" s="53"/>
      <c r="M5" s="53"/>
      <c r="N5" s="53"/>
      <c r="O5" s="53"/>
      <c r="P5" s="53"/>
    </row>
    <row r="6" spans="1:16">
      <c r="A6" s="54" t="s">
        <v>98</v>
      </c>
      <c r="B6" s="56">
        <v>1</v>
      </c>
      <c r="D6" s="58">
        <v>1</v>
      </c>
      <c r="E6" s="59">
        <f>+B4</f>
        <v>120000</v>
      </c>
      <c r="F6" s="59">
        <f>+$B$7/$B$6*E6</f>
        <v>8400</v>
      </c>
      <c r="G6" s="59">
        <f>+H6-F6</f>
        <v>16775.495970999375</v>
      </c>
      <c r="H6" s="59">
        <f>PMT(+$B$7/$B$6,$B$5,-$B$4)</f>
        <v>25175.495970999375</v>
      </c>
    </row>
    <row r="7" spans="1:16">
      <c r="A7" s="54" t="s">
        <v>99</v>
      </c>
      <c r="B7" s="60">
        <v>7.0000000000000007E-2</v>
      </c>
      <c r="D7" s="58">
        <v>2</v>
      </c>
      <c r="E7" s="59">
        <f>+E6-G6</f>
        <v>103224.50402900063</v>
      </c>
      <c r="F7" s="59">
        <f t="shared" ref="F7:F11" si="0">+$B$7/$B$6*E7</f>
        <v>7225.7152820300444</v>
      </c>
      <c r="G7" s="59">
        <f t="shared" ref="G7:G11" si="1">+H7-F7</f>
        <v>17949.780688969331</v>
      </c>
      <c r="H7" s="59">
        <f t="shared" ref="H7:H11" si="2">PMT(+$B$7/$B$6,$B$5,-$B$4)</f>
        <v>25175.495970999375</v>
      </c>
    </row>
    <row r="8" spans="1:16">
      <c r="A8" s="61" t="s">
        <v>100</v>
      </c>
      <c r="D8" s="58">
        <v>3</v>
      </c>
      <c r="E8" s="59">
        <f t="shared" ref="E8:E11" si="3">+E7-G7</f>
        <v>85274.723340031298</v>
      </c>
      <c r="F8" s="59">
        <f t="shared" si="0"/>
        <v>5969.2306338021917</v>
      </c>
      <c r="G8" s="59">
        <f t="shared" si="1"/>
        <v>19206.265337197183</v>
      </c>
      <c r="H8" s="59">
        <f t="shared" si="2"/>
        <v>25175.495970999375</v>
      </c>
    </row>
    <row r="9" spans="1:16">
      <c r="D9" s="58">
        <v>4</v>
      </c>
      <c r="E9" s="59">
        <f t="shared" si="3"/>
        <v>66068.458002834115</v>
      </c>
      <c r="F9" s="59">
        <f t="shared" si="0"/>
        <v>4624.7920601983888</v>
      </c>
      <c r="G9" s="59">
        <f t="shared" si="1"/>
        <v>20550.703910800985</v>
      </c>
      <c r="H9" s="59">
        <f t="shared" si="2"/>
        <v>25175.495970999375</v>
      </c>
    </row>
    <row r="10" spans="1:16" ht="15" customHeight="1">
      <c r="D10" s="58">
        <v>5</v>
      </c>
      <c r="E10" s="59">
        <f t="shared" si="3"/>
        <v>45517.75409203313</v>
      </c>
      <c r="F10" s="59">
        <f t="shared" si="0"/>
        <v>3186.2427864423194</v>
      </c>
      <c r="G10" s="59">
        <f t="shared" si="1"/>
        <v>21989.253184557056</v>
      </c>
      <c r="H10" s="59">
        <f t="shared" si="2"/>
        <v>25175.495970999375</v>
      </c>
    </row>
    <row r="11" spans="1:16">
      <c r="D11" s="58">
        <v>6</v>
      </c>
      <c r="E11" s="59">
        <f t="shared" si="3"/>
        <v>23528.500907476075</v>
      </c>
      <c r="F11" s="59">
        <f t="shared" si="0"/>
        <v>1646.9950635233254</v>
      </c>
      <c r="G11" s="59">
        <f t="shared" si="1"/>
        <v>23528.500907476049</v>
      </c>
      <c r="H11" s="59">
        <f t="shared" si="2"/>
        <v>25175.495970999375</v>
      </c>
    </row>
    <row r="12" spans="1:16">
      <c r="E12" s="62">
        <f>+E11-G11</f>
        <v>0</v>
      </c>
      <c r="F12" s="63">
        <f>+SUM(F6:F11)</f>
        <v>31052.975825996269</v>
      </c>
      <c r="G12" s="63">
        <f t="shared" ref="G12:H12" si="4">+SUM(G6:G11)</f>
        <v>119999.99999999996</v>
      </c>
      <c r="H12" s="63">
        <f t="shared" si="4"/>
        <v>151052.97582599625</v>
      </c>
    </row>
  </sheetData>
  <mergeCells count="2">
    <mergeCell ref="A3:B3"/>
    <mergeCell ref="D3:H3"/>
  </mergeCells>
  <pageMargins left="0.23" right="0.17" top="0.31" bottom="0.75" header="0.21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H12"/>
  <sheetViews>
    <sheetView workbookViewId="0">
      <selection activeCell="J44" sqref="J44"/>
    </sheetView>
  </sheetViews>
  <sheetFormatPr baseColWidth="10" defaultColWidth="8.83203125" defaultRowHeight="15"/>
  <cols>
    <col min="1" max="1" width="29.1640625" style="1" customWidth="1"/>
    <col min="2" max="2" width="11.5" style="1" bestFit="1" customWidth="1"/>
    <col min="3" max="3" width="1.83203125" style="1" customWidth="1"/>
    <col min="4" max="4" width="8.83203125" style="1"/>
    <col min="5" max="8" width="12" style="1" customWidth="1"/>
    <col min="9" max="16384" width="8.83203125" style="1"/>
  </cols>
  <sheetData>
    <row r="1" spans="1:8" ht="21">
      <c r="A1" s="51" t="s">
        <v>101</v>
      </c>
    </row>
    <row r="3" spans="1:8">
      <c r="A3" s="94" t="s">
        <v>86</v>
      </c>
      <c r="B3" s="94"/>
      <c r="D3" s="94" t="s">
        <v>102</v>
      </c>
      <c r="E3" s="94"/>
      <c r="F3" s="94"/>
      <c r="G3" s="94"/>
      <c r="H3" s="94"/>
    </row>
    <row r="4" spans="1:8">
      <c r="A4" s="54" t="s">
        <v>89</v>
      </c>
      <c r="B4" s="55">
        <v>120000</v>
      </c>
    </row>
    <row r="5" spans="1:8">
      <c r="A5" s="54" t="s">
        <v>91</v>
      </c>
      <c r="B5" s="56">
        <v>6</v>
      </c>
      <c r="D5" s="57" t="s">
        <v>92</v>
      </c>
      <c r="E5" s="57" t="s">
        <v>93</v>
      </c>
      <c r="F5" s="57" t="s">
        <v>94</v>
      </c>
      <c r="G5" s="57" t="s">
        <v>95</v>
      </c>
      <c r="H5" s="57" t="s">
        <v>96</v>
      </c>
    </row>
    <row r="6" spans="1:8">
      <c r="A6" s="54" t="s">
        <v>98</v>
      </c>
      <c r="B6" s="56">
        <v>1</v>
      </c>
      <c r="D6" s="58">
        <v>1</v>
      </c>
      <c r="E6" s="59">
        <f>+B4</f>
        <v>120000</v>
      </c>
      <c r="F6" s="59">
        <f t="shared" ref="F6:F11" si="0">+$B$7/$B$6*E6</f>
        <v>8400</v>
      </c>
      <c r="G6" s="59">
        <f t="shared" ref="G6:G11" si="1">+$B$4/$B$5</f>
        <v>20000</v>
      </c>
      <c r="H6" s="59">
        <f>+F6+G6</f>
        <v>28400</v>
      </c>
    </row>
    <row r="7" spans="1:8">
      <c r="A7" s="54" t="s">
        <v>99</v>
      </c>
      <c r="B7" s="60">
        <v>7.0000000000000007E-2</v>
      </c>
      <c r="D7" s="58">
        <v>2</v>
      </c>
      <c r="E7" s="59">
        <f>+E6-G6</f>
        <v>100000</v>
      </c>
      <c r="F7" s="59">
        <f t="shared" si="0"/>
        <v>7000.0000000000009</v>
      </c>
      <c r="G7" s="59">
        <f t="shared" si="1"/>
        <v>20000</v>
      </c>
      <c r="H7" s="59">
        <f t="shared" ref="H7:H11" si="2">+F7+G7</f>
        <v>27000</v>
      </c>
    </row>
    <row r="8" spans="1:8">
      <c r="A8" s="61" t="s">
        <v>100</v>
      </c>
      <c r="D8" s="58">
        <v>3</v>
      </c>
      <c r="E8" s="59">
        <f t="shared" ref="E8:E11" si="3">+E7-G7</f>
        <v>80000</v>
      </c>
      <c r="F8" s="59">
        <f t="shared" si="0"/>
        <v>5600.0000000000009</v>
      </c>
      <c r="G8" s="59">
        <f t="shared" si="1"/>
        <v>20000</v>
      </c>
      <c r="H8" s="59">
        <f t="shared" si="2"/>
        <v>25600</v>
      </c>
    </row>
    <row r="9" spans="1:8" ht="15" customHeight="1">
      <c r="D9" s="58">
        <v>4</v>
      </c>
      <c r="E9" s="59">
        <f t="shared" si="3"/>
        <v>60000</v>
      </c>
      <c r="F9" s="59">
        <f t="shared" si="0"/>
        <v>4200</v>
      </c>
      <c r="G9" s="59">
        <f t="shared" si="1"/>
        <v>20000</v>
      </c>
      <c r="H9" s="59">
        <f t="shared" si="2"/>
        <v>24200</v>
      </c>
    </row>
    <row r="10" spans="1:8">
      <c r="D10" s="58">
        <v>5</v>
      </c>
      <c r="E10" s="59">
        <f t="shared" si="3"/>
        <v>40000</v>
      </c>
      <c r="F10" s="59">
        <f t="shared" si="0"/>
        <v>2800.0000000000005</v>
      </c>
      <c r="G10" s="59">
        <f t="shared" si="1"/>
        <v>20000</v>
      </c>
      <c r="H10" s="59">
        <f t="shared" si="2"/>
        <v>22800</v>
      </c>
    </row>
    <row r="11" spans="1:8">
      <c r="D11" s="58">
        <v>6</v>
      </c>
      <c r="E11" s="59">
        <f t="shared" si="3"/>
        <v>20000</v>
      </c>
      <c r="F11" s="59">
        <f t="shared" si="0"/>
        <v>1400.0000000000002</v>
      </c>
      <c r="G11" s="59">
        <f t="shared" si="1"/>
        <v>20000</v>
      </c>
      <c r="H11" s="59">
        <f t="shared" si="2"/>
        <v>21400</v>
      </c>
    </row>
    <row r="12" spans="1:8">
      <c r="E12" s="62">
        <f>+E11-G11</f>
        <v>0</v>
      </c>
      <c r="F12" s="63">
        <f>+SUM(F6:F11)</f>
        <v>29400</v>
      </c>
      <c r="G12" s="63">
        <f t="shared" ref="G12:H12" si="4">+SUM(G6:G11)</f>
        <v>120000</v>
      </c>
      <c r="H12" s="63">
        <f t="shared" si="4"/>
        <v>149400</v>
      </c>
    </row>
  </sheetData>
  <mergeCells count="2">
    <mergeCell ref="A3:B3"/>
    <mergeCell ref="D3:H3"/>
  </mergeCells>
  <pageMargins left="0.17" right="0.17" top="0.4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H40"/>
  <sheetViews>
    <sheetView workbookViewId="0">
      <selection activeCell="M44" sqref="M44"/>
    </sheetView>
  </sheetViews>
  <sheetFormatPr baseColWidth="10" defaultColWidth="8.83203125" defaultRowHeight="15"/>
  <cols>
    <col min="1" max="1" width="29.1640625" style="1" customWidth="1"/>
    <col min="2" max="2" width="11.5" style="1" bestFit="1" customWidth="1"/>
    <col min="3" max="3" width="1.83203125" style="1" customWidth="1"/>
    <col min="4" max="4" width="8.83203125" style="1"/>
    <col min="5" max="8" width="12" style="1" customWidth="1"/>
    <col min="9" max="16384" width="8.83203125" style="1"/>
  </cols>
  <sheetData>
    <row r="1" spans="1:8" ht="21">
      <c r="A1" s="51" t="s">
        <v>103</v>
      </c>
    </row>
    <row r="2" spans="1:8">
      <c r="A2" s="52"/>
    </row>
    <row r="3" spans="1:8">
      <c r="A3" s="94" t="s">
        <v>86</v>
      </c>
      <c r="B3" s="94"/>
      <c r="D3" s="94" t="s">
        <v>104</v>
      </c>
      <c r="E3" s="94"/>
      <c r="F3" s="94"/>
      <c r="G3" s="94"/>
      <c r="H3" s="94"/>
    </row>
    <row r="4" spans="1:8">
      <c r="A4" s="54" t="s">
        <v>89</v>
      </c>
      <c r="B4" s="55">
        <v>120000</v>
      </c>
    </row>
    <row r="5" spans="1:8">
      <c r="A5" s="54" t="s">
        <v>91</v>
      </c>
      <c r="B5" s="56">
        <v>6</v>
      </c>
      <c r="D5" s="57" t="s">
        <v>92</v>
      </c>
      <c r="E5" s="57" t="s">
        <v>93</v>
      </c>
      <c r="F5" s="57" t="s">
        <v>94</v>
      </c>
      <c r="G5" s="57" t="s">
        <v>95</v>
      </c>
      <c r="H5" s="57" t="s">
        <v>96</v>
      </c>
    </row>
    <row r="6" spans="1:8">
      <c r="A6" s="54" t="s">
        <v>98</v>
      </c>
      <c r="B6" s="56">
        <v>1</v>
      </c>
      <c r="D6" s="58">
        <v>1</v>
      </c>
      <c r="E6" s="59">
        <f>+B4</f>
        <v>120000</v>
      </c>
      <c r="F6" s="59">
        <f>+$B$7/$B$6*E6</f>
        <v>8400</v>
      </c>
      <c r="G6" s="59">
        <v>0</v>
      </c>
      <c r="H6" s="59">
        <f>+F6+G6</f>
        <v>8400</v>
      </c>
    </row>
    <row r="7" spans="1:8">
      <c r="A7" s="54" t="s">
        <v>99</v>
      </c>
      <c r="B7" s="60">
        <v>7.0000000000000007E-2</v>
      </c>
      <c r="D7" s="58">
        <v>2</v>
      </c>
      <c r="E7" s="59">
        <f>+E6-G6</f>
        <v>120000</v>
      </c>
      <c r="F7" s="59">
        <f t="shared" ref="F7:F13" si="0">+$B$7/$B$6*E7</f>
        <v>8400</v>
      </c>
      <c r="G7" s="59">
        <v>0</v>
      </c>
      <c r="H7" s="59">
        <f>+F7+G7</f>
        <v>8400</v>
      </c>
    </row>
    <row r="8" spans="1:8">
      <c r="A8" s="61" t="s">
        <v>100</v>
      </c>
      <c r="D8" s="58">
        <v>3</v>
      </c>
      <c r="E8" s="59">
        <f t="shared" ref="E8:E13" si="1">+E7-G7</f>
        <v>120000</v>
      </c>
      <c r="F8" s="59">
        <f t="shared" si="0"/>
        <v>8400</v>
      </c>
      <c r="G8" s="59">
        <f t="shared" ref="G8:G13" si="2">+H8-F8</f>
        <v>16775.495970999375</v>
      </c>
      <c r="H8" s="59">
        <f t="shared" ref="H8:H13" si="3">PMT(+$B$7/$B$6,$B$5,-$B$4)</f>
        <v>25175.495970999375</v>
      </c>
    </row>
    <row r="9" spans="1:8">
      <c r="D9" s="58">
        <v>4</v>
      </c>
      <c r="E9" s="59">
        <f t="shared" si="1"/>
        <v>103224.50402900063</v>
      </c>
      <c r="F9" s="59">
        <f t="shared" si="0"/>
        <v>7225.7152820300444</v>
      </c>
      <c r="G9" s="59">
        <f t="shared" si="2"/>
        <v>17949.780688969331</v>
      </c>
      <c r="H9" s="59">
        <f t="shared" si="3"/>
        <v>25175.495970999375</v>
      </c>
    </row>
    <row r="10" spans="1:8">
      <c r="D10" s="58">
        <v>5</v>
      </c>
      <c r="E10" s="59">
        <f t="shared" si="1"/>
        <v>85274.723340031298</v>
      </c>
      <c r="F10" s="59">
        <f t="shared" si="0"/>
        <v>5969.2306338021917</v>
      </c>
      <c r="G10" s="59">
        <f t="shared" si="2"/>
        <v>19206.265337197183</v>
      </c>
      <c r="H10" s="59">
        <f t="shared" si="3"/>
        <v>25175.495970999375</v>
      </c>
    </row>
    <row r="11" spans="1:8">
      <c r="D11" s="58">
        <v>6</v>
      </c>
      <c r="E11" s="59">
        <f t="shared" si="1"/>
        <v>66068.458002834115</v>
      </c>
      <c r="F11" s="59">
        <f t="shared" si="0"/>
        <v>4624.7920601983888</v>
      </c>
      <c r="G11" s="59">
        <f t="shared" si="2"/>
        <v>20550.703910800985</v>
      </c>
      <c r="H11" s="59">
        <f t="shared" si="3"/>
        <v>25175.495970999375</v>
      </c>
    </row>
    <row r="12" spans="1:8" ht="15" customHeight="1">
      <c r="D12" s="58">
        <v>7</v>
      </c>
      <c r="E12" s="59">
        <f t="shared" si="1"/>
        <v>45517.75409203313</v>
      </c>
      <c r="F12" s="59">
        <f t="shared" si="0"/>
        <v>3186.2427864423194</v>
      </c>
      <c r="G12" s="59">
        <f t="shared" si="2"/>
        <v>21989.253184557056</v>
      </c>
      <c r="H12" s="59">
        <f t="shared" si="3"/>
        <v>25175.495970999375</v>
      </c>
    </row>
    <row r="13" spans="1:8">
      <c r="D13" s="58">
        <v>8</v>
      </c>
      <c r="E13" s="59">
        <f t="shared" si="1"/>
        <v>23528.500907476075</v>
      </c>
      <c r="F13" s="59">
        <f t="shared" si="0"/>
        <v>1646.9950635233254</v>
      </c>
      <c r="G13" s="59">
        <f t="shared" si="2"/>
        <v>23528.500907476049</v>
      </c>
      <c r="H13" s="59">
        <f t="shared" si="3"/>
        <v>25175.495970999375</v>
      </c>
    </row>
    <row r="14" spans="1:8">
      <c r="E14" s="62">
        <f>+E13-G13</f>
        <v>0</v>
      </c>
      <c r="F14" s="63">
        <f>+SUM(F6:F13)</f>
        <v>47852.975825996269</v>
      </c>
      <c r="G14" s="63">
        <f t="shared" ref="G14:H14" si="4">+SUM(G6:G13)</f>
        <v>119999.99999999996</v>
      </c>
      <c r="H14" s="63">
        <f t="shared" si="4"/>
        <v>167852.97582599625</v>
      </c>
    </row>
    <row r="17" spans="4:8">
      <c r="D17" s="94" t="s">
        <v>105</v>
      </c>
      <c r="E17" s="94"/>
      <c r="F17" s="94"/>
      <c r="G17" s="94"/>
      <c r="H17" s="94"/>
    </row>
    <row r="19" spans="4:8">
      <c r="D19" s="57" t="s">
        <v>92</v>
      </c>
      <c r="E19" s="57" t="s">
        <v>93</v>
      </c>
      <c r="F19" s="57" t="s">
        <v>94</v>
      </c>
      <c r="G19" s="57" t="s">
        <v>95</v>
      </c>
      <c r="H19" s="57" t="s">
        <v>96</v>
      </c>
    </row>
    <row r="20" spans="4:8">
      <c r="D20" s="58">
        <v>1</v>
      </c>
      <c r="E20" s="59">
        <f>+B4</f>
        <v>120000</v>
      </c>
      <c r="F20" s="59">
        <v>0</v>
      </c>
      <c r="G20" s="59">
        <v>0</v>
      </c>
      <c r="H20" s="59">
        <f>+F20+G20</f>
        <v>0</v>
      </c>
    </row>
    <row r="21" spans="4:8">
      <c r="D21" s="58">
        <v>2</v>
      </c>
      <c r="E21" s="59">
        <f>+E20+E20*$B$7</f>
        <v>128400</v>
      </c>
      <c r="F21" s="59">
        <v>0</v>
      </c>
      <c r="G21" s="59">
        <v>0</v>
      </c>
      <c r="H21" s="59">
        <f>+F21+G21</f>
        <v>0</v>
      </c>
    </row>
    <row r="22" spans="4:8">
      <c r="D22" s="58">
        <v>3</v>
      </c>
      <c r="E22" s="59">
        <f>+E21+E21*$B$7</f>
        <v>137388</v>
      </c>
      <c r="F22" s="59">
        <f t="shared" ref="F22:F27" si="5">+$B$7/$B$6*E22</f>
        <v>9617.1600000000017</v>
      </c>
      <c r="G22" s="59">
        <f t="shared" ref="G22:G27" si="6">+H22-F22</f>
        <v>19206.265337197183</v>
      </c>
      <c r="H22" s="59">
        <f>PMT(+$B$7/$B$6,$B$5,-$E$22)</f>
        <v>28823.425337197183</v>
      </c>
    </row>
    <row r="23" spans="4:8">
      <c r="D23" s="58">
        <v>4</v>
      </c>
      <c r="E23" s="59">
        <f t="shared" ref="E23:E27" si="7">+E22-G22</f>
        <v>118181.73466280282</v>
      </c>
      <c r="F23" s="59">
        <f t="shared" si="5"/>
        <v>8272.7214263961978</v>
      </c>
      <c r="G23" s="59">
        <f t="shared" si="6"/>
        <v>20550.703910800985</v>
      </c>
      <c r="H23" s="59">
        <f t="shared" ref="H23:H27" si="8">PMT(+$B$7/$B$6,$B$5,-$E$22)</f>
        <v>28823.425337197183</v>
      </c>
    </row>
    <row r="24" spans="4:8">
      <c r="D24" s="58">
        <v>5</v>
      </c>
      <c r="E24" s="59">
        <f t="shared" si="7"/>
        <v>97631.030752001825</v>
      </c>
      <c r="F24" s="59">
        <f t="shared" si="5"/>
        <v>6834.1721526401288</v>
      </c>
      <c r="G24" s="59">
        <f t="shared" si="6"/>
        <v>21989.253184557056</v>
      </c>
      <c r="H24" s="59">
        <f t="shared" si="8"/>
        <v>28823.425337197183</v>
      </c>
    </row>
    <row r="25" spans="4:8">
      <c r="D25" s="58">
        <v>6</v>
      </c>
      <c r="E25" s="59">
        <f t="shared" si="7"/>
        <v>75641.777567444777</v>
      </c>
      <c r="F25" s="59">
        <f t="shared" si="5"/>
        <v>5294.9244297211353</v>
      </c>
      <c r="G25" s="59">
        <f t="shared" si="6"/>
        <v>23528.500907476046</v>
      </c>
      <c r="H25" s="59">
        <f t="shared" si="8"/>
        <v>28823.425337197183</v>
      </c>
    </row>
    <row r="26" spans="4:8">
      <c r="D26" s="58">
        <v>7</v>
      </c>
      <c r="E26" s="59">
        <f t="shared" si="7"/>
        <v>52113.276659968731</v>
      </c>
      <c r="F26" s="59">
        <f t="shared" si="5"/>
        <v>3647.9293661978113</v>
      </c>
      <c r="G26" s="59">
        <f t="shared" si="6"/>
        <v>25175.495970999371</v>
      </c>
      <c r="H26" s="59">
        <f t="shared" si="8"/>
        <v>28823.425337197183</v>
      </c>
    </row>
    <row r="27" spans="4:8">
      <c r="D27" s="58">
        <v>8</v>
      </c>
      <c r="E27" s="59">
        <f t="shared" si="7"/>
        <v>26937.78068896936</v>
      </c>
      <c r="F27" s="59">
        <f t="shared" si="5"/>
        <v>1885.6446482278554</v>
      </c>
      <c r="G27" s="59">
        <f t="shared" si="6"/>
        <v>26937.780688969327</v>
      </c>
      <c r="H27" s="59">
        <f t="shared" si="8"/>
        <v>28823.425337197183</v>
      </c>
    </row>
    <row r="28" spans="4:8">
      <c r="E28" s="62">
        <f>+E27-G27</f>
        <v>3.2741809263825417E-11</v>
      </c>
      <c r="F28" s="63">
        <f>+SUM(F20:F27)</f>
        <v>35552.552023183125</v>
      </c>
      <c r="G28" s="63">
        <f t="shared" ref="G28:H28" si="9">+SUM(G20:G27)</f>
        <v>137387.99999999997</v>
      </c>
      <c r="H28" s="63">
        <f t="shared" si="9"/>
        <v>172940.55202318309</v>
      </c>
    </row>
    <row r="29" spans="4:8">
      <c r="E29" s="62"/>
      <c r="F29" s="64"/>
      <c r="G29" s="64"/>
      <c r="H29" s="64"/>
    </row>
    <row r="31" spans="4:8">
      <c r="D31" s="94" t="s">
        <v>106</v>
      </c>
      <c r="E31" s="94"/>
      <c r="F31" s="94"/>
      <c r="G31" s="94"/>
      <c r="H31" s="94"/>
    </row>
    <row r="33" spans="4:8">
      <c r="D33" s="57" t="s">
        <v>92</v>
      </c>
      <c r="E33" s="57" t="s">
        <v>93</v>
      </c>
      <c r="F33" s="57" t="s">
        <v>94</v>
      </c>
      <c r="G33" s="57" t="s">
        <v>95</v>
      </c>
      <c r="H33" s="57" t="s">
        <v>96</v>
      </c>
    </row>
    <row r="34" spans="4:8">
      <c r="D34" s="58">
        <v>1</v>
      </c>
      <c r="E34" s="59">
        <f>+B4</f>
        <v>120000</v>
      </c>
      <c r="F34" s="59">
        <v>0</v>
      </c>
      <c r="G34" s="59">
        <f>+H34-F34</f>
        <v>23528.500907476053</v>
      </c>
      <c r="H34" s="59">
        <f>PMT(+$B$7/$B$6,$B$5,-$B$4,0,1)</f>
        <v>23528.500907476053</v>
      </c>
    </row>
    <row r="35" spans="4:8">
      <c r="D35" s="58">
        <v>2</v>
      </c>
      <c r="E35" s="59">
        <f>+E34-G34</f>
        <v>96471.49909252394</v>
      </c>
      <c r="F35" s="59">
        <f t="shared" ref="F35:F39" si="10">+$B$7/$B$6*E35</f>
        <v>6753.0049364766764</v>
      </c>
      <c r="G35" s="59">
        <f t="shared" ref="G35:G39" si="11">+H35-F35</f>
        <v>16775.495970999378</v>
      </c>
      <c r="H35" s="59">
        <f t="shared" ref="H35:H39" si="12">PMT(+$B$7/$B$6,$B$5,-$B$4,0,1)</f>
        <v>23528.500907476053</v>
      </c>
    </row>
    <row r="36" spans="4:8">
      <c r="D36" s="58">
        <v>3</v>
      </c>
      <c r="E36" s="59">
        <f t="shared" ref="E36:E39" si="13">+E35-G35</f>
        <v>79696.003121524554</v>
      </c>
      <c r="F36" s="59">
        <f t="shared" si="10"/>
        <v>5578.720218506719</v>
      </c>
      <c r="G36" s="59">
        <f t="shared" si="11"/>
        <v>17949.780688969335</v>
      </c>
      <c r="H36" s="59">
        <f t="shared" si="12"/>
        <v>23528.500907476053</v>
      </c>
    </row>
    <row r="37" spans="4:8">
      <c r="D37" s="58">
        <v>4</v>
      </c>
      <c r="E37" s="59">
        <f t="shared" si="13"/>
        <v>61746.222432555223</v>
      </c>
      <c r="F37" s="59">
        <f t="shared" si="10"/>
        <v>4322.2355702788664</v>
      </c>
      <c r="G37" s="59">
        <f t="shared" si="11"/>
        <v>19206.265337197186</v>
      </c>
      <c r="H37" s="59">
        <f t="shared" si="12"/>
        <v>23528.500907476053</v>
      </c>
    </row>
    <row r="38" spans="4:8">
      <c r="D38" s="58">
        <v>5</v>
      </c>
      <c r="E38" s="59">
        <f t="shared" si="13"/>
        <v>42539.957095358041</v>
      </c>
      <c r="F38" s="59">
        <f t="shared" si="10"/>
        <v>2977.7969966750629</v>
      </c>
      <c r="G38" s="59">
        <f t="shared" si="11"/>
        <v>20550.703910800989</v>
      </c>
      <c r="H38" s="59">
        <f t="shared" si="12"/>
        <v>23528.500907476053</v>
      </c>
    </row>
    <row r="39" spans="4:8">
      <c r="D39" s="58">
        <v>6</v>
      </c>
      <c r="E39" s="59">
        <f t="shared" si="13"/>
        <v>21989.253184557052</v>
      </c>
      <c r="F39" s="59">
        <f t="shared" si="10"/>
        <v>1539.2477229189938</v>
      </c>
      <c r="G39" s="59">
        <f t="shared" si="11"/>
        <v>21989.253184557059</v>
      </c>
      <c r="H39" s="59">
        <f t="shared" si="12"/>
        <v>23528.500907476053</v>
      </c>
    </row>
    <row r="40" spans="4:8">
      <c r="E40" s="62">
        <f>+E39-G39</f>
        <v>0</v>
      </c>
      <c r="F40" s="63">
        <f>+SUM(F34:F39)</f>
        <v>21171.005444856321</v>
      </c>
      <c r="G40" s="63">
        <f>+SUM(G34:G39)</f>
        <v>120000</v>
      </c>
      <c r="H40" s="63">
        <f>+SUM(H34:H39)</f>
        <v>141171.00544485633</v>
      </c>
    </row>
  </sheetData>
  <mergeCells count="4">
    <mergeCell ref="A3:B3"/>
    <mergeCell ref="D3:H3"/>
    <mergeCell ref="D17:H17"/>
    <mergeCell ref="D31:H31"/>
  </mergeCells>
  <pageMargins left="0.23" right="0.2" top="0.43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P246"/>
  <sheetViews>
    <sheetView workbookViewId="0">
      <selection activeCell="M44" sqref="M44"/>
    </sheetView>
  </sheetViews>
  <sheetFormatPr baseColWidth="10" defaultColWidth="8.83203125" defaultRowHeight="15"/>
  <cols>
    <col min="1" max="1" width="29" style="1" customWidth="1"/>
    <col min="2" max="2" width="11.5" style="1" bestFit="1" customWidth="1"/>
    <col min="3" max="3" width="1.6640625" style="1" customWidth="1"/>
    <col min="4" max="4" width="8.83203125" style="1"/>
    <col min="5" max="8" width="12" style="1" customWidth="1"/>
    <col min="9" max="16384" width="8.83203125" style="1"/>
  </cols>
  <sheetData>
    <row r="1" spans="1:16" ht="21">
      <c r="A1" s="51" t="s">
        <v>107</v>
      </c>
    </row>
    <row r="2" spans="1:16">
      <c r="A2" s="52"/>
    </row>
    <row r="3" spans="1:16">
      <c r="A3" s="94" t="s">
        <v>86</v>
      </c>
      <c r="B3" s="94"/>
      <c r="D3" s="94" t="s">
        <v>87</v>
      </c>
      <c r="E3" s="94"/>
      <c r="F3" s="94"/>
      <c r="G3" s="94"/>
      <c r="H3" s="94"/>
    </row>
    <row r="4" spans="1:16">
      <c r="A4" s="54" t="s">
        <v>89</v>
      </c>
      <c r="B4" s="55">
        <v>100000</v>
      </c>
      <c r="K4" s="53" t="s">
        <v>88</v>
      </c>
      <c r="L4" s="53"/>
      <c r="M4" s="53"/>
      <c r="N4" s="53"/>
      <c r="O4" s="53"/>
      <c r="P4" s="53"/>
    </row>
    <row r="5" spans="1:16">
      <c r="A5" s="54" t="s">
        <v>91</v>
      </c>
      <c r="B5" s="56">
        <v>240</v>
      </c>
      <c r="D5" s="57" t="s">
        <v>92</v>
      </c>
      <c r="E5" s="57" t="s">
        <v>93</v>
      </c>
      <c r="F5" s="57" t="s">
        <v>94</v>
      </c>
      <c r="G5" s="57" t="s">
        <v>95</v>
      </c>
      <c r="H5" s="57" t="s">
        <v>96</v>
      </c>
      <c r="K5" s="53" t="s">
        <v>90</v>
      </c>
      <c r="L5" s="53"/>
      <c r="M5" s="53"/>
      <c r="N5" s="53"/>
      <c r="O5" s="53"/>
      <c r="P5" s="53"/>
    </row>
    <row r="6" spans="1:16">
      <c r="A6" s="54" t="s">
        <v>98</v>
      </c>
      <c r="B6" s="56">
        <v>12</v>
      </c>
      <c r="D6" s="58">
        <v>1</v>
      </c>
      <c r="E6" s="59">
        <f>+B4</f>
        <v>100000</v>
      </c>
      <c r="F6" s="59">
        <f>+$B$7/$B$6*E6</f>
        <v>270.83333333333331</v>
      </c>
      <c r="G6" s="59">
        <f>+H6-F6</f>
        <v>296.36242816101259</v>
      </c>
      <c r="H6" s="59">
        <f>PMT(+$B$7/$B$6,$B$5,-$B$4)</f>
        <v>567.1957614943459</v>
      </c>
      <c r="K6" s="53" t="s">
        <v>97</v>
      </c>
      <c r="L6" s="53"/>
      <c r="M6" s="53"/>
      <c r="N6" s="53"/>
      <c r="O6" s="53"/>
      <c r="P6" s="53"/>
    </row>
    <row r="7" spans="1:16">
      <c r="A7" s="54" t="s">
        <v>99</v>
      </c>
      <c r="B7" s="60">
        <v>3.2500000000000001E-2</v>
      </c>
      <c r="D7" s="58">
        <f>+D6+1</f>
        <v>2</v>
      </c>
      <c r="E7" s="59">
        <f>+E6-G6</f>
        <v>99703.63757183899</v>
      </c>
      <c r="F7" s="59">
        <f t="shared" ref="F7:F70" si="0">+$B$7/$B$6*E7</f>
        <v>270.0306850903973</v>
      </c>
      <c r="G7" s="59">
        <f t="shared" ref="G7:G70" si="1">+H7-F7</f>
        <v>297.1650764039486</v>
      </c>
      <c r="H7" s="59">
        <f t="shared" ref="H7:H70" si="2">PMT(+$B$7/$B$6,$B$5,-$B$4)</f>
        <v>567.1957614943459</v>
      </c>
    </row>
    <row r="8" spans="1:16">
      <c r="A8" s="61" t="s">
        <v>100</v>
      </c>
      <c r="D8" s="58">
        <f t="shared" ref="D8:D71" si="3">+D7+1</f>
        <v>3</v>
      </c>
      <c r="E8" s="59">
        <f t="shared" ref="E8:E71" si="4">+E7-G7</f>
        <v>99406.472495435039</v>
      </c>
      <c r="F8" s="59">
        <f t="shared" si="0"/>
        <v>269.2258630084699</v>
      </c>
      <c r="G8" s="59">
        <f t="shared" si="1"/>
        <v>297.969898485876</v>
      </c>
      <c r="H8" s="59">
        <f t="shared" si="2"/>
        <v>567.1957614943459</v>
      </c>
    </row>
    <row r="9" spans="1:16">
      <c r="D9" s="58">
        <f t="shared" si="3"/>
        <v>4</v>
      </c>
      <c r="E9" s="59">
        <f t="shared" si="4"/>
        <v>99108.502596949169</v>
      </c>
      <c r="F9" s="59">
        <f t="shared" si="0"/>
        <v>268.41886120007069</v>
      </c>
      <c r="G9" s="59">
        <f t="shared" si="1"/>
        <v>298.77690029427521</v>
      </c>
      <c r="H9" s="59">
        <f t="shared" si="2"/>
        <v>567.1957614943459</v>
      </c>
    </row>
    <row r="10" spans="1:16" ht="15" customHeight="1">
      <c r="D10" s="58">
        <f t="shared" si="3"/>
        <v>5</v>
      </c>
      <c r="E10" s="59">
        <f t="shared" si="4"/>
        <v>98809.725696654888</v>
      </c>
      <c r="F10" s="59">
        <f t="shared" si="0"/>
        <v>267.60967376177365</v>
      </c>
      <c r="G10" s="59">
        <f t="shared" si="1"/>
        <v>299.58608773257225</v>
      </c>
      <c r="H10" s="59">
        <f t="shared" si="2"/>
        <v>567.1957614943459</v>
      </c>
    </row>
    <row r="11" spans="1:16">
      <c r="D11" s="58">
        <f t="shared" si="3"/>
        <v>6</v>
      </c>
      <c r="E11" s="59">
        <f t="shared" si="4"/>
        <v>98510.139608922313</v>
      </c>
      <c r="F11" s="59">
        <f t="shared" si="0"/>
        <v>266.79829477416462</v>
      </c>
      <c r="G11" s="59">
        <f t="shared" si="1"/>
        <v>300.39746672018128</v>
      </c>
      <c r="H11" s="59">
        <f t="shared" si="2"/>
        <v>567.1957614943459</v>
      </c>
    </row>
    <row r="12" spans="1:16">
      <c r="D12" s="58">
        <f t="shared" si="3"/>
        <v>7</v>
      </c>
      <c r="E12" s="59">
        <f t="shared" si="4"/>
        <v>98209.742142202129</v>
      </c>
      <c r="F12" s="59">
        <f t="shared" si="0"/>
        <v>265.98471830179744</v>
      </c>
      <c r="G12" s="59">
        <f t="shared" si="1"/>
        <v>301.21104319254846</v>
      </c>
      <c r="H12" s="59">
        <f t="shared" si="2"/>
        <v>567.1957614943459</v>
      </c>
    </row>
    <row r="13" spans="1:16">
      <c r="D13" s="58">
        <f t="shared" si="3"/>
        <v>8</v>
      </c>
      <c r="E13" s="59">
        <f t="shared" si="4"/>
        <v>97908.531099009575</v>
      </c>
      <c r="F13" s="59">
        <f t="shared" si="0"/>
        <v>265.16893839315094</v>
      </c>
      <c r="G13" s="59">
        <f t="shared" si="1"/>
        <v>302.02682310119496</v>
      </c>
      <c r="H13" s="59">
        <f t="shared" si="2"/>
        <v>567.1957614943459</v>
      </c>
    </row>
    <row r="14" spans="1:16">
      <c r="D14" s="58">
        <f t="shared" si="3"/>
        <v>9</v>
      </c>
      <c r="E14" s="59">
        <f t="shared" si="4"/>
        <v>97606.504275908374</v>
      </c>
      <c r="F14" s="59">
        <f t="shared" si="0"/>
        <v>264.35094908058517</v>
      </c>
      <c r="G14" s="59">
        <f t="shared" si="1"/>
        <v>302.84481241376074</v>
      </c>
      <c r="H14" s="59">
        <f t="shared" si="2"/>
        <v>567.1957614943459</v>
      </c>
    </row>
    <row r="15" spans="1:16">
      <c r="D15" s="58">
        <f t="shared" si="3"/>
        <v>10</v>
      </c>
      <c r="E15" s="59">
        <f t="shared" si="4"/>
        <v>97303.659463494609</v>
      </c>
      <c r="F15" s="59">
        <f t="shared" si="0"/>
        <v>263.5307443802979</v>
      </c>
      <c r="G15" s="59">
        <f t="shared" si="1"/>
        <v>303.665017114048</v>
      </c>
      <c r="H15" s="59">
        <f t="shared" si="2"/>
        <v>567.1957614943459</v>
      </c>
    </row>
    <row r="16" spans="1:16">
      <c r="D16" s="58">
        <f t="shared" si="3"/>
        <v>11</v>
      </c>
      <c r="E16" s="59">
        <f t="shared" si="4"/>
        <v>96999.994446380559</v>
      </c>
      <c r="F16" s="59">
        <f t="shared" si="0"/>
        <v>262.70831829228069</v>
      </c>
      <c r="G16" s="59">
        <f t="shared" si="1"/>
        <v>304.48744320206521</v>
      </c>
      <c r="H16" s="59">
        <f t="shared" si="2"/>
        <v>567.1957614943459</v>
      </c>
    </row>
    <row r="17" spans="4:8">
      <c r="D17" s="58">
        <f t="shared" si="3"/>
        <v>12</v>
      </c>
      <c r="E17" s="59">
        <f t="shared" si="4"/>
        <v>96695.5070031785</v>
      </c>
      <c r="F17" s="59">
        <f t="shared" si="0"/>
        <v>261.88366480027508</v>
      </c>
      <c r="G17" s="59">
        <f t="shared" si="1"/>
        <v>305.31209669407082</v>
      </c>
      <c r="H17" s="59">
        <f t="shared" si="2"/>
        <v>567.1957614943459</v>
      </c>
    </row>
    <row r="18" spans="4:8">
      <c r="D18" s="58">
        <f t="shared" si="3"/>
        <v>13</v>
      </c>
      <c r="E18" s="59">
        <f t="shared" si="4"/>
        <v>96390.194906484423</v>
      </c>
      <c r="F18" s="59">
        <f t="shared" si="0"/>
        <v>261.05677787172863</v>
      </c>
      <c r="G18" s="59">
        <f t="shared" si="1"/>
        <v>306.13898362261727</v>
      </c>
      <c r="H18" s="59">
        <f t="shared" si="2"/>
        <v>567.1957614943459</v>
      </c>
    </row>
    <row r="19" spans="4:8">
      <c r="D19" s="58">
        <f t="shared" si="3"/>
        <v>14</v>
      </c>
      <c r="E19" s="59">
        <f t="shared" si="4"/>
        <v>96084.055922861808</v>
      </c>
      <c r="F19" s="59">
        <f t="shared" si="0"/>
        <v>260.22765145775071</v>
      </c>
      <c r="G19" s="59">
        <f t="shared" si="1"/>
        <v>306.96811003659519</v>
      </c>
      <c r="H19" s="59">
        <f t="shared" si="2"/>
        <v>567.1957614943459</v>
      </c>
    </row>
    <row r="20" spans="4:8">
      <c r="D20" s="58">
        <f t="shared" si="3"/>
        <v>15</v>
      </c>
      <c r="E20" s="59">
        <f t="shared" si="4"/>
        <v>95777.087812825208</v>
      </c>
      <c r="F20" s="59">
        <f t="shared" si="0"/>
        <v>259.39627949306828</v>
      </c>
      <c r="G20" s="59">
        <f t="shared" si="1"/>
        <v>307.79948200127762</v>
      </c>
      <c r="H20" s="59">
        <f t="shared" si="2"/>
        <v>567.1957614943459</v>
      </c>
    </row>
    <row r="21" spans="4:8">
      <c r="D21" s="58">
        <f t="shared" si="3"/>
        <v>16</v>
      </c>
      <c r="E21" s="59">
        <f t="shared" si="4"/>
        <v>95469.288330823925</v>
      </c>
      <c r="F21" s="59">
        <f t="shared" si="0"/>
        <v>258.56265589598149</v>
      </c>
      <c r="G21" s="59">
        <f t="shared" si="1"/>
        <v>308.63310559836441</v>
      </c>
      <c r="H21" s="59">
        <f t="shared" si="2"/>
        <v>567.1957614943459</v>
      </c>
    </row>
    <row r="22" spans="4:8">
      <c r="D22" s="58">
        <f t="shared" si="3"/>
        <v>17</v>
      </c>
      <c r="E22" s="59">
        <f t="shared" si="4"/>
        <v>95160.655225225564</v>
      </c>
      <c r="F22" s="59">
        <f t="shared" si="0"/>
        <v>257.72677456831923</v>
      </c>
      <c r="G22" s="59">
        <f t="shared" si="1"/>
        <v>309.46898692602667</v>
      </c>
      <c r="H22" s="59">
        <f t="shared" si="2"/>
        <v>567.1957614943459</v>
      </c>
    </row>
    <row r="23" spans="4:8">
      <c r="D23" s="58">
        <f t="shared" si="3"/>
        <v>18</v>
      </c>
      <c r="E23" s="59">
        <f t="shared" si="4"/>
        <v>94851.186238299531</v>
      </c>
      <c r="F23" s="59">
        <f t="shared" si="0"/>
        <v>256.88862939539456</v>
      </c>
      <c r="G23" s="59">
        <f t="shared" si="1"/>
        <v>310.30713209895134</v>
      </c>
      <c r="H23" s="59">
        <f t="shared" si="2"/>
        <v>567.1957614943459</v>
      </c>
    </row>
    <row r="24" spans="4:8">
      <c r="D24" s="58">
        <f t="shared" si="3"/>
        <v>19</v>
      </c>
      <c r="E24" s="59">
        <f t="shared" si="4"/>
        <v>94540.879106200577</v>
      </c>
      <c r="F24" s="59">
        <f t="shared" si="0"/>
        <v>256.04821424595991</v>
      </c>
      <c r="G24" s="59">
        <f t="shared" si="1"/>
        <v>311.14754724838599</v>
      </c>
      <c r="H24" s="59">
        <f t="shared" si="2"/>
        <v>567.1957614943459</v>
      </c>
    </row>
    <row r="25" spans="4:8">
      <c r="D25" s="58">
        <f t="shared" si="3"/>
        <v>20</v>
      </c>
      <c r="E25" s="59">
        <f t="shared" si="4"/>
        <v>94229.73155895219</v>
      </c>
      <c r="F25" s="59">
        <f t="shared" si="0"/>
        <v>255.20552297216219</v>
      </c>
      <c r="G25" s="59">
        <f t="shared" si="1"/>
        <v>311.99023852218374</v>
      </c>
      <c r="H25" s="59">
        <f t="shared" si="2"/>
        <v>567.1957614943459</v>
      </c>
    </row>
    <row r="26" spans="4:8">
      <c r="D26" s="58">
        <f t="shared" si="3"/>
        <v>21</v>
      </c>
      <c r="E26" s="59">
        <f t="shared" si="4"/>
        <v>93917.74132043001</v>
      </c>
      <c r="F26" s="59">
        <f t="shared" si="0"/>
        <v>254.36054940949796</v>
      </c>
      <c r="G26" s="59">
        <f t="shared" si="1"/>
        <v>312.83521208484797</v>
      </c>
      <c r="H26" s="59">
        <f t="shared" si="2"/>
        <v>567.1957614943459</v>
      </c>
    </row>
    <row r="27" spans="4:8">
      <c r="D27" s="58">
        <f t="shared" si="3"/>
        <v>22</v>
      </c>
      <c r="E27" s="59">
        <f t="shared" si="4"/>
        <v>93604.906108345167</v>
      </c>
      <c r="F27" s="59">
        <f t="shared" si="0"/>
        <v>253.51328737676818</v>
      </c>
      <c r="G27" s="59">
        <f t="shared" si="1"/>
        <v>313.68247411757773</v>
      </c>
      <c r="H27" s="59">
        <f t="shared" si="2"/>
        <v>567.1957614943459</v>
      </c>
    </row>
    <row r="28" spans="4:8">
      <c r="D28" s="58">
        <f t="shared" si="3"/>
        <v>23</v>
      </c>
      <c r="E28" s="59">
        <f t="shared" si="4"/>
        <v>93291.223634227586</v>
      </c>
      <c r="F28" s="59">
        <f t="shared" si="0"/>
        <v>252.66373067603305</v>
      </c>
      <c r="G28" s="59">
        <f t="shared" si="1"/>
        <v>314.53203081831282</v>
      </c>
      <c r="H28" s="59">
        <f t="shared" si="2"/>
        <v>567.1957614943459</v>
      </c>
    </row>
    <row r="29" spans="4:8">
      <c r="D29" s="58">
        <f t="shared" si="3"/>
        <v>24</v>
      </c>
      <c r="E29" s="59">
        <f t="shared" si="4"/>
        <v>92976.691603409272</v>
      </c>
      <c r="F29" s="59">
        <f t="shared" si="0"/>
        <v>251.8118730925668</v>
      </c>
      <c r="G29" s="59">
        <f t="shared" si="1"/>
        <v>315.38388840177913</v>
      </c>
      <c r="H29" s="59">
        <f t="shared" si="2"/>
        <v>567.1957614943459</v>
      </c>
    </row>
    <row r="30" spans="4:8">
      <c r="D30" s="58">
        <f t="shared" si="3"/>
        <v>25</v>
      </c>
      <c r="E30" s="59">
        <f t="shared" si="4"/>
        <v>92661.307715007497</v>
      </c>
      <c r="F30" s="59">
        <f t="shared" si="0"/>
        <v>250.95770839481199</v>
      </c>
      <c r="G30" s="59">
        <f t="shared" si="1"/>
        <v>316.23805309953389</v>
      </c>
      <c r="H30" s="59">
        <f t="shared" si="2"/>
        <v>567.1957614943459</v>
      </c>
    </row>
    <row r="31" spans="4:8">
      <c r="D31" s="58">
        <f t="shared" si="3"/>
        <v>26</v>
      </c>
      <c r="E31" s="59">
        <f t="shared" si="4"/>
        <v>92345.069661907968</v>
      </c>
      <c r="F31" s="59">
        <f t="shared" si="0"/>
        <v>250.10123033433408</v>
      </c>
      <c r="G31" s="59">
        <f t="shared" si="1"/>
        <v>317.0945311600118</v>
      </c>
      <c r="H31" s="59">
        <f t="shared" si="2"/>
        <v>567.1957614943459</v>
      </c>
    </row>
    <row r="32" spans="4:8">
      <c r="D32" s="58">
        <f t="shared" si="3"/>
        <v>27</v>
      </c>
      <c r="E32" s="59">
        <f t="shared" si="4"/>
        <v>92027.97513074796</v>
      </c>
      <c r="F32" s="59">
        <f t="shared" si="0"/>
        <v>249.24243264577572</v>
      </c>
      <c r="G32" s="59">
        <f t="shared" si="1"/>
        <v>317.95332884857021</v>
      </c>
      <c r="H32" s="59">
        <f t="shared" si="2"/>
        <v>567.1957614943459</v>
      </c>
    </row>
    <row r="33" spans="4:8">
      <c r="D33" s="58">
        <f t="shared" si="3"/>
        <v>28</v>
      </c>
      <c r="E33" s="59">
        <f t="shared" si="4"/>
        <v>91710.021801899391</v>
      </c>
      <c r="F33" s="59">
        <f t="shared" si="0"/>
        <v>248.38130904681086</v>
      </c>
      <c r="G33" s="59">
        <f t="shared" si="1"/>
        <v>318.81445244753502</v>
      </c>
      <c r="H33" s="59">
        <f t="shared" si="2"/>
        <v>567.1957614943459</v>
      </c>
    </row>
    <row r="34" spans="4:8">
      <c r="D34" s="58">
        <f t="shared" si="3"/>
        <v>29</v>
      </c>
      <c r="E34" s="59">
        <f t="shared" si="4"/>
        <v>91391.207349451855</v>
      </c>
      <c r="F34" s="59">
        <f t="shared" si="0"/>
        <v>247.51785323809878</v>
      </c>
      <c r="G34" s="59">
        <f t="shared" si="1"/>
        <v>319.67790825624712</v>
      </c>
      <c r="H34" s="59">
        <f t="shared" si="2"/>
        <v>567.1957614943459</v>
      </c>
    </row>
    <row r="35" spans="4:8">
      <c r="D35" s="58">
        <f t="shared" si="3"/>
        <v>30</v>
      </c>
      <c r="E35" s="59">
        <f t="shared" si="4"/>
        <v>91071.529441195613</v>
      </c>
      <c r="F35" s="59">
        <f t="shared" si="0"/>
        <v>246.65205890323813</v>
      </c>
      <c r="G35" s="59">
        <f t="shared" si="1"/>
        <v>320.54370259110777</v>
      </c>
      <c r="H35" s="59">
        <f t="shared" si="2"/>
        <v>567.1957614943459</v>
      </c>
    </row>
    <row r="36" spans="4:8">
      <c r="D36" s="58">
        <f t="shared" si="3"/>
        <v>31</v>
      </c>
      <c r="E36" s="59">
        <f t="shared" si="4"/>
        <v>90750.985738604504</v>
      </c>
      <c r="F36" s="59">
        <f t="shared" si="0"/>
        <v>245.78391970872053</v>
      </c>
      <c r="G36" s="59">
        <f t="shared" si="1"/>
        <v>321.41184178562537</v>
      </c>
      <c r="H36" s="59">
        <f t="shared" si="2"/>
        <v>567.1957614943459</v>
      </c>
    </row>
    <row r="37" spans="4:8">
      <c r="D37" s="58">
        <f t="shared" si="3"/>
        <v>32</v>
      </c>
      <c r="E37" s="59">
        <f t="shared" si="4"/>
        <v>90429.573896818882</v>
      </c>
      <c r="F37" s="59">
        <f t="shared" si="0"/>
        <v>244.91342930388447</v>
      </c>
      <c r="G37" s="59">
        <f t="shared" si="1"/>
        <v>322.28233219046143</v>
      </c>
      <c r="H37" s="59">
        <f t="shared" si="2"/>
        <v>567.1957614943459</v>
      </c>
    </row>
    <row r="38" spans="4:8">
      <c r="D38" s="58">
        <f t="shared" si="3"/>
        <v>33</v>
      </c>
      <c r="E38" s="59">
        <f t="shared" si="4"/>
        <v>90107.291564628424</v>
      </c>
      <c r="F38" s="59">
        <f t="shared" si="0"/>
        <v>244.04058132086865</v>
      </c>
      <c r="G38" s="59">
        <f t="shared" si="1"/>
        <v>323.15518017347722</v>
      </c>
      <c r="H38" s="59">
        <f t="shared" si="2"/>
        <v>567.1957614943459</v>
      </c>
    </row>
    <row r="39" spans="4:8">
      <c r="D39" s="58">
        <f t="shared" si="3"/>
        <v>34</v>
      </c>
      <c r="E39" s="59">
        <f t="shared" si="4"/>
        <v>89784.136384454949</v>
      </c>
      <c r="F39" s="59">
        <f t="shared" si="0"/>
        <v>243.1653693745655</v>
      </c>
      <c r="G39" s="59">
        <f t="shared" si="1"/>
        <v>324.0303921197804</v>
      </c>
      <c r="H39" s="59">
        <f t="shared" si="2"/>
        <v>567.1957614943459</v>
      </c>
    </row>
    <row r="40" spans="4:8">
      <c r="D40" s="58">
        <f t="shared" si="3"/>
        <v>35</v>
      </c>
      <c r="E40" s="59">
        <f t="shared" si="4"/>
        <v>89460.105992335171</v>
      </c>
      <c r="F40" s="59">
        <f t="shared" si="0"/>
        <v>242.28778706257444</v>
      </c>
      <c r="G40" s="59">
        <f t="shared" si="1"/>
        <v>324.90797443177144</v>
      </c>
      <c r="H40" s="59">
        <f t="shared" si="2"/>
        <v>567.1957614943459</v>
      </c>
    </row>
    <row r="41" spans="4:8">
      <c r="D41" s="58">
        <f t="shared" si="3"/>
        <v>36</v>
      </c>
      <c r="E41" s="59">
        <f t="shared" si="4"/>
        <v>89135.1980179034</v>
      </c>
      <c r="F41" s="59">
        <f t="shared" si="0"/>
        <v>241.40782796515504</v>
      </c>
      <c r="G41" s="59">
        <f t="shared" si="1"/>
        <v>325.78793352919087</v>
      </c>
      <c r="H41" s="59">
        <f t="shared" si="2"/>
        <v>567.1957614943459</v>
      </c>
    </row>
    <row r="42" spans="4:8">
      <c r="D42" s="58">
        <f t="shared" si="3"/>
        <v>37</v>
      </c>
      <c r="E42" s="59">
        <f t="shared" si="4"/>
        <v>88809.410084374205</v>
      </c>
      <c r="F42" s="59">
        <f t="shared" si="0"/>
        <v>240.52548564518014</v>
      </c>
      <c r="G42" s="59">
        <f t="shared" si="1"/>
        <v>326.67027584916576</v>
      </c>
      <c r="H42" s="59">
        <f t="shared" si="2"/>
        <v>567.1957614943459</v>
      </c>
    </row>
    <row r="43" spans="4:8">
      <c r="D43" s="58">
        <f t="shared" si="3"/>
        <v>38</v>
      </c>
      <c r="E43" s="59">
        <f t="shared" si="4"/>
        <v>88482.739808525046</v>
      </c>
      <c r="F43" s="59">
        <f t="shared" si="0"/>
        <v>239.64075364808866</v>
      </c>
      <c r="G43" s="59">
        <f t="shared" si="1"/>
        <v>327.55500784625724</v>
      </c>
      <c r="H43" s="59">
        <f t="shared" si="2"/>
        <v>567.1957614943459</v>
      </c>
    </row>
    <row r="44" spans="4:8">
      <c r="D44" s="58">
        <f t="shared" si="3"/>
        <v>39</v>
      </c>
      <c r="E44" s="59">
        <f t="shared" si="4"/>
        <v>88155.184800678791</v>
      </c>
      <c r="F44" s="59">
        <f t="shared" si="0"/>
        <v>238.7536255018384</v>
      </c>
      <c r="G44" s="59">
        <f t="shared" si="1"/>
        <v>328.44213599250747</v>
      </c>
      <c r="H44" s="59">
        <f t="shared" si="2"/>
        <v>567.1957614943459</v>
      </c>
    </row>
    <row r="45" spans="4:8">
      <c r="D45" s="58">
        <f t="shared" si="3"/>
        <v>40</v>
      </c>
      <c r="E45" s="59">
        <f t="shared" si="4"/>
        <v>87826.742664686288</v>
      </c>
      <c r="F45" s="59">
        <f t="shared" si="0"/>
        <v>237.86409471685872</v>
      </c>
      <c r="G45" s="59">
        <f t="shared" si="1"/>
        <v>329.33166677748716</v>
      </c>
      <c r="H45" s="59">
        <f t="shared" si="2"/>
        <v>567.1957614943459</v>
      </c>
    </row>
    <row r="46" spans="4:8">
      <c r="D46" s="58">
        <f t="shared" si="3"/>
        <v>41</v>
      </c>
      <c r="E46" s="59">
        <f t="shared" si="4"/>
        <v>87497.410997908795</v>
      </c>
      <c r="F46" s="59">
        <f t="shared" si="0"/>
        <v>236.97215478600299</v>
      </c>
      <c r="G46" s="59">
        <f t="shared" si="1"/>
        <v>330.22360670834291</v>
      </c>
      <c r="H46" s="59">
        <f t="shared" si="2"/>
        <v>567.1957614943459</v>
      </c>
    </row>
    <row r="47" spans="4:8">
      <c r="D47" s="58">
        <f t="shared" si="3"/>
        <v>42</v>
      </c>
      <c r="E47" s="59">
        <f t="shared" si="4"/>
        <v>87167.187391200452</v>
      </c>
      <c r="F47" s="59">
        <f t="shared" si="0"/>
        <v>236.07779918450123</v>
      </c>
      <c r="G47" s="59">
        <f t="shared" si="1"/>
        <v>331.11796230984464</v>
      </c>
      <c r="H47" s="59">
        <f t="shared" si="2"/>
        <v>567.1957614943459</v>
      </c>
    </row>
    <row r="48" spans="4:8">
      <c r="D48" s="58">
        <f t="shared" si="3"/>
        <v>43</v>
      </c>
      <c r="E48" s="59">
        <f t="shared" si="4"/>
        <v>86836.069428890609</v>
      </c>
      <c r="F48" s="59">
        <f t="shared" si="0"/>
        <v>235.18102136991206</v>
      </c>
      <c r="G48" s="59">
        <f t="shared" si="1"/>
        <v>332.01474012443384</v>
      </c>
      <c r="H48" s="59">
        <f t="shared" si="2"/>
        <v>567.1957614943459</v>
      </c>
    </row>
    <row r="49" spans="4:8">
      <c r="D49" s="58">
        <f t="shared" si="3"/>
        <v>44</v>
      </c>
      <c r="E49" s="59">
        <f t="shared" si="4"/>
        <v>86504.054688766177</v>
      </c>
      <c r="F49" s="59">
        <f t="shared" si="0"/>
        <v>234.28181478207506</v>
      </c>
      <c r="G49" s="59">
        <f t="shared" si="1"/>
        <v>332.91394671227084</v>
      </c>
      <c r="H49" s="59">
        <f t="shared" si="2"/>
        <v>567.1957614943459</v>
      </c>
    </row>
    <row r="50" spans="4:8">
      <c r="D50" s="58">
        <f t="shared" si="3"/>
        <v>45</v>
      </c>
      <c r="E50" s="59">
        <f t="shared" si="4"/>
        <v>86171.140742053904</v>
      </c>
      <c r="F50" s="59">
        <f t="shared" si="0"/>
        <v>233.38017284306267</v>
      </c>
      <c r="G50" s="59">
        <f t="shared" si="1"/>
        <v>333.81558865128324</v>
      </c>
      <c r="H50" s="59">
        <f t="shared" si="2"/>
        <v>567.1957614943459</v>
      </c>
    </row>
    <row r="51" spans="4:8">
      <c r="D51" s="58">
        <f t="shared" si="3"/>
        <v>46</v>
      </c>
      <c r="E51" s="59">
        <f t="shared" si="4"/>
        <v>85837.32515340262</v>
      </c>
      <c r="F51" s="59">
        <f t="shared" si="0"/>
        <v>232.47608895713211</v>
      </c>
      <c r="G51" s="59">
        <f t="shared" si="1"/>
        <v>334.7196725372138</v>
      </c>
      <c r="H51" s="59">
        <f t="shared" si="2"/>
        <v>567.1957614943459</v>
      </c>
    </row>
    <row r="52" spans="4:8">
      <c r="D52" s="58">
        <f t="shared" si="3"/>
        <v>47</v>
      </c>
      <c r="E52" s="59">
        <f t="shared" si="4"/>
        <v>85502.605480865401</v>
      </c>
      <c r="F52" s="59">
        <f t="shared" si="0"/>
        <v>231.56955651067713</v>
      </c>
      <c r="G52" s="59">
        <f t="shared" si="1"/>
        <v>335.6262049836688</v>
      </c>
      <c r="H52" s="59">
        <f t="shared" si="2"/>
        <v>567.1957614943459</v>
      </c>
    </row>
    <row r="53" spans="4:8">
      <c r="D53" s="58">
        <f t="shared" si="3"/>
        <v>48</v>
      </c>
      <c r="E53" s="59">
        <f t="shared" si="4"/>
        <v>85166.979275881735</v>
      </c>
      <c r="F53" s="59">
        <f t="shared" si="0"/>
        <v>230.66056887217971</v>
      </c>
      <c r="G53" s="59">
        <f t="shared" si="1"/>
        <v>336.53519262216616</v>
      </c>
      <c r="H53" s="59">
        <f t="shared" si="2"/>
        <v>567.1957614943459</v>
      </c>
    </row>
    <row r="54" spans="4:8">
      <c r="D54" s="58">
        <f t="shared" si="3"/>
        <v>49</v>
      </c>
      <c r="E54" s="59">
        <f t="shared" si="4"/>
        <v>84830.444083259572</v>
      </c>
      <c r="F54" s="59">
        <f t="shared" si="0"/>
        <v>229.74911939216136</v>
      </c>
      <c r="G54" s="59">
        <f t="shared" si="1"/>
        <v>337.44664210218457</v>
      </c>
      <c r="H54" s="59">
        <f t="shared" si="2"/>
        <v>567.1957614943459</v>
      </c>
    </row>
    <row r="55" spans="4:8">
      <c r="D55" s="58">
        <f t="shared" si="3"/>
        <v>50</v>
      </c>
      <c r="E55" s="59">
        <f t="shared" si="4"/>
        <v>84492.997441157393</v>
      </c>
      <c r="F55" s="59">
        <f t="shared" si="0"/>
        <v>228.83520140313462</v>
      </c>
      <c r="G55" s="59">
        <f t="shared" si="1"/>
        <v>338.36056009121125</v>
      </c>
      <c r="H55" s="59">
        <f t="shared" si="2"/>
        <v>567.1957614943459</v>
      </c>
    </row>
    <row r="56" spans="4:8">
      <c r="D56" s="58">
        <f t="shared" si="3"/>
        <v>51</v>
      </c>
      <c r="E56" s="59">
        <f t="shared" si="4"/>
        <v>84154.636881066181</v>
      </c>
      <c r="F56" s="59">
        <f t="shared" si="0"/>
        <v>227.91880821955425</v>
      </c>
      <c r="G56" s="59">
        <f t="shared" si="1"/>
        <v>339.27695327479165</v>
      </c>
      <c r="H56" s="59">
        <f t="shared" si="2"/>
        <v>567.1957614943459</v>
      </c>
    </row>
    <row r="57" spans="4:8">
      <c r="D57" s="58">
        <f t="shared" si="3"/>
        <v>52</v>
      </c>
      <c r="E57" s="59">
        <f t="shared" si="4"/>
        <v>83815.359927791389</v>
      </c>
      <c r="F57" s="59">
        <f t="shared" si="0"/>
        <v>226.99993313776835</v>
      </c>
      <c r="G57" s="59">
        <f t="shared" si="1"/>
        <v>340.19582835657752</v>
      </c>
      <c r="H57" s="59">
        <f t="shared" si="2"/>
        <v>567.1957614943459</v>
      </c>
    </row>
    <row r="58" spans="4:8">
      <c r="D58" s="58">
        <f t="shared" si="3"/>
        <v>53</v>
      </c>
      <c r="E58" s="59">
        <f t="shared" si="4"/>
        <v>83475.164099434813</v>
      </c>
      <c r="F58" s="59">
        <f t="shared" si="0"/>
        <v>226.07856943596929</v>
      </c>
      <c r="G58" s="59">
        <f t="shared" si="1"/>
        <v>341.11719205837665</v>
      </c>
      <c r="H58" s="59">
        <f t="shared" si="2"/>
        <v>567.1957614943459</v>
      </c>
    </row>
    <row r="59" spans="4:8">
      <c r="D59" s="58">
        <f t="shared" si="3"/>
        <v>54</v>
      </c>
      <c r="E59" s="59">
        <f t="shared" si="4"/>
        <v>83134.04690737644</v>
      </c>
      <c r="F59" s="59">
        <f t="shared" si="0"/>
        <v>225.15471037414454</v>
      </c>
      <c r="G59" s="59">
        <f t="shared" si="1"/>
        <v>342.04105112020136</v>
      </c>
      <c r="H59" s="59">
        <f t="shared" si="2"/>
        <v>567.1957614943459</v>
      </c>
    </row>
    <row r="60" spans="4:8">
      <c r="D60" s="58">
        <f t="shared" si="3"/>
        <v>55</v>
      </c>
      <c r="E60" s="59">
        <f t="shared" si="4"/>
        <v>82792.005856256234</v>
      </c>
      <c r="F60" s="59">
        <f t="shared" si="0"/>
        <v>224.22834919402732</v>
      </c>
      <c r="G60" s="59">
        <f t="shared" si="1"/>
        <v>342.96741230031859</v>
      </c>
      <c r="H60" s="59">
        <f t="shared" si="2"/>
        <v>567.1957614943459</v>
      </c>
    </row>
    <row r="61" spans="4:8">
      <c r="D61" s="58">
        <f t="shared" si="3"/>
        <v>56</v>
      </c>
      <c r="E61" s="59">
        <f t="shared" si="4"/>
        <v>82449.038443955913</v>
      </c>
      <c r="F61" s="59">
        <f t="shared" si="0"/>
        <v>223.29947911904728</v>
      </c>
      <c r="G61" s="59">
        <f t="shared" si="1"/>
        <v>343.8962823752986</v>
      </c>
      <c r="H61" s="59">
        <f t="shared" si="2"/>
        <v>567.1957614943459</v>
      </c>
    </row>
    <row r="62" spans="4:8">
      <c r="D62" s="58">
        <f t="shared" si="3"/>
        <v>57</v>
      </c>
      <c r="E62" s="59">
        <f t="shared" si="4"/>
        <v>82105.142161580618</v>
      </c>
      <c r="F62" s="59">
        <f t="shared" si="0"/>
        <v>222.36809335428086</v>
      </c>
      <c r="G62" s="59">
        <f t="shared" si="1"/>
        <v>344.82766814006504</v>
      </c>
      <c r="H62" s="59">
        <f t="shared" si="2"/>
        <v>567.1957614943459</v>
      </c>
    </row>
    <row r="63" spans="4:8">
      <c r="D63" s="58">
        <f t="shared" si="3"/>
        <v>58</v>
      </c>
      <c r="E63" s="59">
        <f t="shared" si="4"/>
        <v>81760.314493440557</v>
      </c>
      <c r="F63" s="59">
        <f t="shared" si="0"/>
        <v>221.43418508640153</v>
      </c>
      <c r="G63" s="59">
        <f t="shared" si="1"/>
        <v>345.7615764079444</v>
      </c>
      <c r="H63" s="59">
        <f t="shared" si="2"/>
        <v>567.1957614943459</v>
      </c>
    </row>
    <row r="64" spans="4:8">
      <c r="D64" s="58">
        <f t="shared" si="3"/>
        <v>59</v>
      </c>
      <c r="E64" s="59">
        <f t="shared" si="4"/>
        <v>81414.552917032619</v>
      </c>
      <c r="F64" s="59">
        <f t="shared" si="0"/>
        <v>220.49774748363001</v>
      </c>
      <c r="G64" s="59">
        <f t="shared" si="1"/>
        <v>346.69801401071589</v>
      </c>
      <c r="H64" s="59">
        <f t="shared" si="2"/>
        <v>567.1957614943459</v>
      </c>
    </row>
    <row r="65" spans="4:8">
      <c r="D65" s="58">
        <f t="shared" si="3"/>
        <v>60</v>
      </c>
      <c r="E65" s="59">
        <f t="shared" si="4"/>
        <v>81067.8549030219</v>
      </c>
      <c r="F65" s="59">
        <f t="shared" si="0"/>
        <v>219.55877369568432</v>
      </c>
      <c r="G65" s="59">
        <f t="shared" si="1"/>
        <v>347.63698779866161</v>
      </c>
      <c r="H65" s="59">
        <f t="shared" si="2"/>
        <v>567.1957614943459</v>
      </c>
    </row>
    <row r="66" spans="4:8">
      <c r="D66" s="58">
        <f t="shared" si="3"/>
        <v>61</v>
      </c>
      <c r="E66" s="59">
        <f t="shared" si="4"/>
        <v>80720.217915223242</v>
      </c>
      <c r="F66" s="59">
        <f t="shared" si="0"/>
        <v>218.61725685372963</v>
      </c>
      <c r="G66" s="59">
        <f t="shared" si="1"/>
        <v>348.5785046406163</v>
      </c>
      <c r="H66" s="59">
        <f t="shared" si="2"/>
        <v>567.1957614943459</v>
      </c>
    </row>
    <row r="67" spans="4:8">
      <c r="D67" s="58">
        <f t="shared" si="3"/>
        <v>62</v>
      </c>
      <c r="E67" s="59">
        <f t="shared" si="4"/>
        <v>80371.639410582633</v>
      </c>
      <c r="F67" s="59">
        <f t="shared" si="0"/>
        <v>217.67319007032796</v>
      </c>
      <c r="G67" s="59">
        <f t="shared" si="1"/>
        <v>349.52257142401794</v>
      </c>
      <c r="H67" s="59">
        <f t="shared" si="2"/>
        <v>567.1957614943459</v>
      </c>
    </row>
    <row r="68" spans="4:8">
      <c r="D68" s="58">
        <f t="shared" si="3"/>
        <v>63</v>
      </c>
      <c r="E68" s="59">
        <f t="shared" si="4"/>
        <v>80022.116839158611</v>
      </c>
      <c r="F68" s="59">
        <f t="shared" si="0"/>
        <v>216.72656643938791</v>
      </c>
      <c r="G68" s="59">
        <f t="shared" si="1"/>
        <v>350.46919505495799</v>
      </c>
      <c r="H68" s="59">
        <f t="shared" si="2"/>
        <v>567.1957614943459</v>
      </c>
    </row>
    <row r="69" spans="4:8">
      <c r="D69" s="58">
        <f t="shared" si="3"/>
        <v>64</v>
      </c>
      <c r="E69" s="59">
        <f t="shared" si="4"/>
        <v>79671.64764410365</v>
      </c>
      <c r="F69" s="59">
        <f t="shared" si="0"/>
        <v>215.77737903611407</v>
      </c>
      <c r="G69" s="59">
        <f t="shared" si="1"/>
        <v>351.4183824582318</v>
      </c>
      <c r="H69" s="59">
        <f t="shared" si="2"/>
        <v>567.1957614943459</v>
      </c>
    </row>
    <row r="70" spans="4:8">
      <c r="D70" s="58">
        <f t="shared" si="3"/>
        <v>65</v>
      </c>
      <c r="E70" s="59">
        <f t="shared" si="4"/>
        <v>79320.229261645422</v>
      </c>
      <c r="F70" s="59">
        <f t="shared" si="0"/>
        <v>214.82562091695635</v>
      </c>
      <c r="G70" s="59">
        <f t="shared" si="1"/>
        <v>352.37014057738952</v>
      </c>
      <c r="H70" s="59">
        <f t="shared" si="2"/>
        <v>567.1957614943459</v>
      </c>
    </row>
    <row r="71" spans="4:8">
      <c r="D71" s="58">
        <f t="shared" si="3"/>
        <v>66</v>
      </c>
      <c r="E71" s="59">
        <f t="shared" si="4"/>
        <v>78967.859121068032</v>
      </c>
      <c r="F71" s="59">
        <f t="shared" ref="F71:F134" si="5">+$B$7/$B$6*E71</f>
        <v>213.87128511955925</v>
      </c>
      <c r="G71" s="59">
        <f t="shared" ref="G71:G134" si="6">+H71-F71</f>
        <v>353.32447637478663</v>
      </c>
      <c r="H71" s="59">
        <f t="shared" ref="H71:H134" si="7">PMT(+$B$7/$B$6,$B$5,-$B$4)</f>
        <v>567.1957614943459</v>
      </c>
    </row>
    <row r="72" spans="4:8">
      <c r="D72" s="58">
        <f t="shared" ref="D72:D135" si="8">+D71+1</f>
        <v>67</v>
      </c>
      <c r="E72" s="59">
        <f t="shared" ref="E72:E135" si="9">+E71-G71</f>
        <v>78614.534644693238</v>
      </c>
      <c r="F72" s="59">
        <f t="shared" si="5"/>
        <v>212.91436466271085</v>
      </c>
      <c r="G72" s="59">
        <f t="shared" si="6"/>
        <v>354.28139683163505</v>
      </c>
      <c r="H72" s="59">
        <f t="shared" si="7"/>
        <v>567.1957614943459</v>
      </c>
    </row>
    <row r="73" spans="4:8">
      <c r="D73" s="58">
        <f t="shared" si="8"/>
        <v>68</v>
      </c>
      <c r="E73" s="59">
        <f t="shared" si="9"/>
        <v>78260.253247861605</v>
      </c>
      <c r="F73" s="59">
        <f t="shared" si="5"/>
        <v>211.95485254629185</v>
      </c>
      <c r="G73" s="59">
        <f t="shared" si="6"/>
        <v>355.24090894805408</v>
      </c>
      <c r="H73" s="59">
        <f t="shared" si="7"/>
        <v>567.1957614943459</v>
      </c>
    </row>
    <row r="74" spans="4:8">
      <c r="D74" s="58">
        <f t="shared" si="8"/>
        <v>69</v>
      </c>
      <c r="E74" s="59">
        <f t="shared" si="9"/>
        <v>77905.012338913555</v>
      </c>
      <c r="F74" s="59">
        <f t="shared" si="5"/>
        <v>210.99274175122423</v>
      </c>
      <c r="G74" s="59">
        <f t="shared" si="6"/>
        <v>356.20301974312167</v>
      </c>
      <c r="H74" s="59">
        <f t="shared" si="7"/>
        <v>567.1957614943459</v>
      </c>
    </row>
    <row r="75" spans="4:8">
      <c r="D75" s="58">
        <f t="shared" si="8"/>
        <v>70</v>
      </c>
      <c r="E75" s="59">
        <f t="shared" si="9"/>
        <v>77548.809319170439</v>
      </c>
      <c r="F75" s="59">
        <f t="shared" si="5"/>
        <v>210.02802523941995</v>
      </c>
      <c r="G75" s="59">
        <f t="shared" si="6"/>
        <v>357.16773625492596</v>
      </c>
      <c r="H75" s="59">
        <f t="shared" si="7"/>
        <v>567.1957614943459</v>
      </c>
    </row>
    <row r="76" spans="4:8">
      <c r="D76" s="58">
        <f t="shared" si="8"/>
        <v>71</v>
      </c>
      <c r="E76" s="59">
        <f t="shared" si="9"/>
        <v>77191.641582915516</v>
      </c>
      <c r="F76" s="59">
        <f t="shared" si="5"/>
        <v>209.06069595372952</v>
      </c>
      <c r="G76" s="59">
        <f t="shared" si="6"/>
        <v>358.13506554061638</v>
      </c>
      <c r="H76" s="59">
        <f t="shared" si="7"/>
        <v>567.1957614943459</v>
      </c>
    </row>
    <row r="77" spans="4:8">
      <c r="D77" s="58">
        <f t="shared" si="8"/>
        <v>72</v>
      </c>
      <c r="E77" s="59">
        <f t="shared" si="9"/>
        <v>76833.506517374903</v>
      </c>
      <c r="F77" s="59">
        <f t="shared" si="5"/>
        <v>208.09074681789036</v>
      </c>
      <c r="G77" s="59">
        <f t="shared" si="6"/>
        <v>359.10501467645554</v>
      </c>
      <c r="H77" s="59">
        <f t="shared" si="7"/>
        <v>567.1957614943459</v>
      </c>
    </row>
    <row r="78" spans="4:8">
      <c r="D78" s="58">
        <f t="shared" si="8"/>
        <v>73</v>
      </c>
      <c r="E78" s="59">
        <f t="shared" si="9"/>
        <v>76474.401502698442</v>
      </c>
      <c r="F78" s="59">
        <f t="shared" si="5"/>
        <v>207.11817073647495</v>
      </c>
      <c r="G78" s="59">
        <f t="shared" si="6"/>
        <v>360.07759075787095</v>
      </c>
      <c r="H78" s="59">
        <f t="shared" si="7"/>
        <v>567.1957614943459</v>
      </c>
    </row>
    <row r="79" spans="4:8">
      <c r="D79" s="58">
        <f t="shared" si="8"/>
        <v>74</v>
      </c>
      <c r="E79" s="59">
        <f t="shared" si="9"/>
        <v>76114.323911940577</v>
      </c>
      <c r="F79" s="59">
        <f t="shared" si="5"/>
        <v>206.14296059483908</v>
      </c>
      <c r="G79" s="59">
        <f t="shared" si="6"/>
        <v>361.05280089950679</v>
      </c>
      <c r="H79" s="59">
        <f t="shared" si="7"/>
        <v>567.1957614943459</v>
      </c>
    </row>
    <row r="80" spans="4:8">
      <c r="D80" s="58">
        <f t="shared" si="8"/>
        <v>75</v>
      </c>
      <c r="E80" s="59">
        <f t="shared" si="9"/>
        <v>75753.271111041075</v>
      </c>
      <c r="F80" s="59">
        <f t="shared" si="5"/>
        <v>205.1651092590696</v>
      </c>
      <c r="G80" s="59">
        <f t="shared" si="6"/>
        <v>362.03065223527631</v>
      </c>
      <c r="H80" s="59">
        <f t="shared" si="7"/>
        <v>567.1957614943459</v>
      </c>
    </row>
    <row r="81" spans="4:8">
      <c r="D81" s="58">
        <f t="shared" si="8"/>
        <v>76</v>
      </c>
      <c r="E81" s="59">
        <f t="shared" si="9"/>
        <v>75391.240458805798</v>
      </c>
      <c r="F81" s="59">
        <f t="shared" si="5"/>
        <v>204.18460957593237</v>
      </c>
      <c r="G81" s="59">
        <f t="shared" si="6"/>
        <v>363.01115191841353</v>
      </c>
      <c r="H81" s="59">
        <f t="shared" si="7"/>
        <v>567.1957614943459</v>
      </c>
    </row>
    <row r="82" spans="4:8">
      <c r="D82" s="58">
        <f t="shared" si="8"/>
        <v>77</v>
      </c>
      <c r="E82" s="59">
        <f t="shared" si="9"/>
        <v>75028.229306887384</v>
      </c>
      <c r="F82" s="59">
        <f t="shared" si="5"/>
        <v>203.20145437282</v>
      </c>
      <c r="G82" s="59">
        <f t="shared" si="6"/>
        <v>363.99430712152594</v>
      </c>
      <c r="H82" s="59">
        <f t="shared" si="7"/>
        <v>567.1957614943459</v>
      </c>
    </row>
    <row r="83" spans="4:8">
      <c r="D83" s="58">
        <f t="shared" si="8"/>
        <v>78</v>
      </c>
      <c r="E83" s="59">
        <f t="shared" si="9"/>
        <v>74664.23499976586</v>
      </c>
      <c r="F83" s="59">
        <f t="shared" si="5"/>
        <v>202.21563645769922</v>
      </c>
      <c r="G83" s="59">
        <f t="shared" si="6"/>
        <v>364.98012503664665</v>
      </c>
      <c r="H83" s="59">
        <f t="shared" si="7"/>
        <v>567.1957614943459</v>
      </c>
    </row>
    <row r="84" spans="4:8">
      <c r="D84" s="58">
        <f t="shared" si="8"/>
        <v>79</v>
      </c>
      <c r="E84" s="59">
        <f t="shared" si="9"/>
        <v>74299.254874729217</v>
      </c>
      <c r="F84" s="59">
        <f t="shared" si="5"/>
        <v>201.22714861905831</v>
      </c>
      <c r="G84" s="59">
        <f t="shared" si="6"/>
        <v>365.96861287528759</v>
      </c>
      <c r="H84" s="59">
        <f t="shared" si="7"/>
        <v>567.1957614943459</v>
      </c>
    </row>
    <row r="85" spans="4:8">
      <c r="D85" s="58">
        <f t="shared" si="8"/>
        <v>80</v>
      </c>
      <c r="E85" s="59">
        <f t="shared" si="9"/>
        <v>73933.286261853922</v>
      </c>
      <c r="F85" s="59">
        <f t="shared" si="5"/>
        <v>200.23598362585437</v>
      </c>
      <c r="G85" s="59">
        <f t="shared" si="6"/>
        <v>366.95977786849153</v>
      </c>
      <c r="H85" s="59">
        <f t="shared" si="7"/>
        <v>567.1957614943459</v>
      </c>
    </row>
    <row r="86" spans="4:8">
      <c r="D86" s="58">
        <f t="shared" si="8"/>
        <v>81</v>
      </c>
      <c r="E86" s="59">
        <f t="shared" si="9"/>
        <v>73566.326483985424</v>
      </c>
      <c r="F86" s="59">
        <f t="shared" si="5"/>
        <v>199.24213422746053</v>
      </c>
      <c r="G86" s="59">
        <f t="shared" si="6"/>
        <v>367.95362726688541</v>
      </c>
      <c r="H86" s="59">
        <f t="shared" si="7"/>
        <v>567.1957614943459</v>
      </c>
    </row>
    <row r="87" spans="4:8">
      <c r="D87" s="58">
        <f t="shared" si="8"/>
        <v>82</v>
      </c>
      <c r="E87" s="59">
        <f t="shared" si="9"/>
        <v>73198.372856718532</v>
      </c>
      <c r="F87" s="59">
        <f t="shared" si="5"/>
        <v>198.2455931536127</v>
      </c>
      <c r="G87" s="59">
        <f t="shared" si="6"/>
        <v>368.95016834073317</v>
      </c>
      <c r="H87" s="59">
        <f t="shared" si="7"/>
        <v>567.1957614943459</v>
      </c>
    </row>
    <row r="88" spans="4:8">
      <c r="D88" s="58">
        <f t="shared" si="8"/>
        <v>83</v>
      </c>
      <c r="E88" s="59">
        <f t="shared" si="9"/>
        <v>72829.422688377803</v>
      </c>
      <c r="F88" s="59">
        <f t="shared" si="5"/>
        <v>197.24635311435657</v>
      </c>
      <c r="G88" s="59">
        <f t="shared" si="6"/>
        <v>369.94940837998934</v>
      </c>
      <c r="H88" s="59">
        <f t="shared" si="7"/>
        <v>567.1957614943459</v>
      </c>
    </row>
    <row r="89" spans="4:8">
      <c r="D89" s="58">
        <f t="shared" si="8"/>
        <v>84</v>
      </c>
      <c r="E89" s="59">
        <f t="shared" si="9"/>
        <v>72459.473279997808</v>
      </c>
      <c r="F89" s="59">
        <f t="shared" si="5"/>
        <v>196.24440679999407</v>
      </c>
      <c r="G89" s="59">
        <f t="shared" si="6"/>
        <v>370.95135469435183</v>
      </c>
      <c r="H89" s="59">
        <f t="shared" si="7"/>
        <v>567.1957614943459</v>
      </c>
    </row>
    <row r="90" spans="4:8">
      <c r="D90" s="58">
        <f t="shared" si="8"/>
        <v>85</v>
      </c>
      <c r="E90" s="59">
        <f t="shared" si="9"/>
        <v>72088.521925303459</v>
      </c>
      <c r="F90" s="59">
        <f t="shared" si="5"/>
        <v>195.23974688103021</v>
      </c>
      <c r="G90" s="59">
        <f t="shared" si="6"/>
        <v>371.95601461331569</v>
      </c>
      <c r="H90" s="59">
        <f t="shared" si="7"/>
        <v>567.1957614943459</v>
      </c>
    </row>
    <row r="91" spans="4:8">
      <c r="D91" s="58">
        <f t="shared" si="8"/>
        <v>86</v>
      </c>
      <c r="E91" s="59">
        <f t="shared" si="9"/>
        <v>71716.565910690144</v>
      </c>
      <c r="F91" s="59">
        <f t="shared" si="5"/>
        <v>194.23236600811916</v>
      </c>
      <c r="G91" s="59">
        <f t="shared" si="6"/>
        <v>372.96339548622677</v>
      </c>
      <c r="H91" s="59">
        <f t="shared" si="7"/>
        <v>567.1957614943459</v>
      </c>
    </row>
    <row r="92" spans="4:8">
      <c r="D92" s="58">
        <f t="shared" si="8"/>
        <v>87</v>
      </c>
      <c r="E92" s="59">
        <f t="shared" si="9"/>
        <v>71343.602515203922</v>
      </c>
      <c r="F92" s="59">
        <f t="shared" si="5"/>
        <v>193.22225681201064</v>
      </c>
      <c r="G92" s="59">
        <f t="shared" si="6"/>
        <v>373.97350468233526</v>
      </c>
      <c r="H92" s="59">
        <f t="shared" si="7"/>
        <v>567.1957614943459</v>
      </c>
    </row>
    <row r="93" spans="4:8">
      <c r="D93" s="58">
        <f t="shared" si="8"/>
        <v>88</v>
      </c>
      <c r="E93" s="59">
        <f t="shared" si="9"/>
        <v>70969.629010521588</v>
      </c>
      <c r="F93" s="59">
        <f t="shared" si="5"/>
        <v>192.20941190349598</v>
      </c>
      <c r="G93" s="59">
        <f t="shared" si="6"/>
        <v>374.98634959084995</v>
      </c>
      <c r="H93" s="59">
        <f t="shared" si="7"/>
        <v>567.1957614943459</v>
      </c>
    </row>
    <row r="94" spans="4:8">
      <c r="D94" s="58">
        <f t="shared" si="8"/>
        <v>89</v>
      </c>
      <c r="E94" s="59">
        <f t="shared" si="9"/>
        <v>70594.642660930738</v>
      </c>
      <c r="F94" s="59">
        <f t="shared" si="5"/>
        <v>191.19382387335409</v>
      </c>
      <c r="G94" s="59">
        <f t="shared" si="6"/>
        <v>376.00193762099184</v>
      </c>
      <c r="H94" s="59">
        <f t="shared" si="7"/>
        <v>567.1957614943459</v>
      </c>
    </row>
    <row r="95" spans="4:8">
      <c r="D95" s="58">
        <f t="shared" si="8"/>
        <v>90</v>
      </c>
      <c r="E95" s="59">
        <f t="shared" si="9"/>
        <v>70218.640723309742</v>
      </c>
      <c r="F95" s="59">
        <f t="shared" si="5"/>
        <v>190.17548529229722</v>
      </c>
      <c r="G95" s="59">
        <f t="shared" si="6"/>
        <v>377.02027620204865</v>
      </c>
      <c r="H95" s="59">
        <f t="shared" si="7"/>
        <v>567.1957614943459</v>
      </c>
    </row>
    <row r="96" spans="4:8">
      <c r="D96" s="58">
        <f t="shared" si="8"/>
        <v>91</v>
      </c>
      <c r="E96" s="59">
        <f t="shared" si="9"/>
        <v>69841.620447107693</v>
      </c>
      <c r="F96" s="59">
        <f t="shared" si="5"/>
        <v>189.15438871091666</v>
      </c>
      <c r="G96" s="59">
        <f t="shared" si="6"/>
        <v>378.04137278342921</v>
      </c>
      <c r="H96" s="59">
        <f t="shared" si="7"/>
        <v>567.1957614943459</v>
      </c>
    </row>
    <row r="97" spans="4:8">
      <c r="D97" s="58">
        <f t="shared" si="8"/>
        <v>92</v>
      </c>
      <c r="E97" s="59">
        <f t="shared" si="9"/>
        <v>69463.579074324269</v>
      </c>
      <c r="F97" s="59">
        <f t="shared" si="5"/>
        <v>188.13052665962823</v>
      </c>
      <c r="G97" s="59">
        <f t="shared" si="6"/>
        <v>379.06523483471767</v>
      </c>
      <c r="H97" s="59">
        <f t="shared" si="7"/>
        <v>567.1957614943459</v>
      </c>
    </row>
    <row r="98" spans="4:8">
      <c r="D98" s="58">
        <f t="shared" si="8"/>
        <v>93</v>
      </c>
      <c r="E98" s="59">
        <f t="shared" si="9"/>
        <v>69084.513839489548</v>
      </c>
      <c r="F98" s="59">
        <f t="shared" si="5"/>
        <v>187.10389164861752</v>
      </c>
      <c r="G98" s="59">
        <f t="shared" si="6"/>
        <v>380.09186984572841</v>
      </c>
      <c r="H98" s="59">
        <f t="shared" si="7"/>
        <v>567.1957614943459</v>
      </c>
    </row>
    <row r="99" spans="4:8">
      <c r="D99" s="58">
        <f t="shared" si="8"/>
        <v>94</v>
      </c>
      <c r="E99" s="59">
        <f t="shared" si="9"/>
        <v>68704.421969643823</v>
      </c>
      <c r="F99" s="59">
        <f t="shared" si="5"/>
        <v>186.07447616778535</v>
      </c>
      <c r="G99" s="59">
        <f t="shared" si="6"/>
        <v>381.12128532656055</v>
      </c>
      <c r="H99" s="59">
        <f t="shared" si="7"/>
        <v>567.1957614943459</v>
      </c>
    </row>
    <row r="100" spans="4:8">
      <c r="D100" s="58">
        <f t="shared" si="8"/>
        <v>95</v>
      </c>
      <c r="E100" s="59">
        <f t="shared" si="9"/>
        <v>68323.300684317262</v>
      </c>
      <c r="F100" s="59">
        <f t="shared" si="5"/>
        <v>185.0422726866926</v>
      </c>
      <c r="G100" s="59">
        <f t="shared" si="6"/>
        <v>382.15348880765328</v>
      </c>
      <c r="H100" s="59">
        <f t="shared" si="7"/>
        <v>567.1957614943459</v>
      </c>
    </row>
    <row r="101" spans="4:8">
      <c r="D101" s="58">
        <f t="shared" si="8"/>
        <v>96</v>
      </c>
      <c r="E101" s="59">
        <f t="shared" si="9"/>
        <v>67941.147195509606</v>
      </c>
      <c r="F101" s="59">
        <f t="shared" si="5"/>
        <v>184.00727365450518</v>
      </c>
      <c r="G101" s="59">
        <f t="shared" si="6"/>
        <v>383.18848783984072</v>
      </c>
      <c r="H101" s="59">
        <f t="shared" si="7"/>
        <v>567.1957614943459</v>
      </c>
    </row>
    <row r="102" spans="4:8">
      <c r="D102" s="58">
        <f t="shared" si="8"/>
        <v>97</v>
      </c>
      <c r="E102" s="59">
        <f t="shared" si="9"/>
        <v>67557.958707669764</v>
      </c>
      <c r="F102" s="59">
        <f t="shared" si="5"/>
        <v>182.96947149993895</v>
      </c>
      <c r="G102" s="59">
        <f t="shared" si="6"/>
        <v>384.22628999440695</v>
      </c>
      <c r="H102" s="59">
        <f t="shared" si="7"/>
        <v>567.1957614943459</v>
      </c>
    </row>
    <row r="103" spans="4:8">
      <c r="D103" s="58">
        <f t="shared" si="8"/>
        <v>98</v>
      </c>
      <c r="E103" s="59">
        <f t="shared" si="9"/>
        <v>67173.732417675361</v>
      </c>
      <c r="F103" s="59">
        <f t="shared" si="5"/>
        <v>181.92885863120412</v>
      </c>
      <c r="G103" s="59">
        <f t="shared" si="6"/>
        <v>385.26690286314181</v>
      </c>
      <c r="H103" s="59">
        <f t="shared" si="7"/>
        <v>567.1957614943459</v>
      </c>
    </row>
    <row r="104" spans="4:8">
      <c r="D104" s="58">
        <f t="shared" si="8"/>
        <v>99</v>
      </c>
      <c r="E104" s="59">
        <f t="shared" si="9"/>
        <v>66788.465514812226</v>
      </c>
      <c r="F104" s="59">
        <f t="shared" si="5"/>
        <v>180.88542743594979</v>
      </c>
      <c r="G104" s="59">
        <f t="shared" si="6"/>
        <v>386.31033405839611</v>
      </c>
      <c r="H104" s="59">
        <f t="shared" si="7"/>
        <v>567.1957614943459</v>
      </c>
    </row>
    <row r="105" spans="4:8">
      <c r="D105" s="58">
        <f t="shared" si="8"/>
        <v>100</v>
      </c>
      <c r="E105" s="59">
        <f t="shared" si="9"/>
        <v>66402.155180753834</v>
      </c>
      <c r="F105" s="59">
        <f t="shared" si="5"/>
        <v>179.83917028120831</v>
      </c>
      <c r="G105" s="59">
        <f t="shared" si="6"/>
        <v>387.35659121313756</v>
      </c>
      <c r="H105" s="59">
        <f t="shared" si="7"/>
        <v>567.1957614943459</v>
      </c>
    </row>
    <row r="106" spans="4:8">
      <c r="D106" s="58">
        <f t="shared" si="8"/>
        <v>101</v>
      </c>
      <c r="E106" s="59">
        <f t="shared" si="9"/>
        <v>66014.798589540704</v>
      </c>
      <c r="F106" s="59">
        <f t="shared" si="5"/>
        <v>178.79007951333941</v>
      </c>
      <c r="G106" s="59">
        <f t="shared" si="6"/>
        <v>388.40568198100652</v>
      </c>
      <c r="H106" s="59">
        <f t="shared" si="7"/>
        <v>567.1957614943459</v>
      </c>
    </row>
    <row r="107" spans="4:8">
      <c r="D107" s="58">
        <f t="shared" si="8"/>
        <v>102</v>
      </c>
      <c r="E107" s="59">
        <f t="shared" si="9"/>
        <v>65626.392907559697</v>
      </c>
      <c r="F107" s="59">
        <f t="shared" si="5"/>
        <v>177.73814745797418</v>
      </c>
      <c r="G107" s="59">
        <f t="shared" si="6"/>
        <v>389.45761403637175</v>
      </c>
      <c r="H107" s="59">
        <f t="shared" si="7"/>
        <v>567.1957614943459</v>
      </c>
    </row>
    <row r="108" spans="4:8">
      <c r="D108" s="58">
        <f t="shared" si="8"/>
        <v>103</v>
      </c>
      <c r="E108" s="59">
        <f t="shared" si="9"/>
        <v>65236.935293523326</v>
      </c>
      <c r="F108" s="59">
        <f t="shared" si="5"/>
        <v>176.68336641995901</v>
      </c>
      <c r="G108" s="59">
        <f t="shared" si="6"/>
        <v>390.51239507438686</v>
      </c>
      <c r="H108" s="59">
        <f t="shared" si="7"/>
        <v>567.1957614943459</v>
      </c>
    </row>
    <row r="109" spans="4:8">
      <c r="D109" s="58">
        <f t="shared" si="8"/>
        <v>104</v>
      </c>
      <c r="E109" s="59">
        <f t="shared" si="9"/>
        <v>64846.422898448938</v>
      </c>
      <c r="F109" s="59">
        <f t="shared" si="5"/>
        <v>175.6257286832992</v>
      </c>
      <c r="G109" s="59">
        <f t="shared" si="6"/>
        <v>391.5700328110467</v>
      </c>
      <c r="H109" s="59">
        <f t="shared" si="7"/>
        <v>567.1957614943459</v>
      </c>
    </row>
    <row r="110" spans="4:8">
      <c r="D110" s="58">
        <f t="shared" si="8"/>
        <v>105</v>
      </c>
      <c r="E110" s="59">
        <f t="shared" si="9"/>
        <v>64454.852865637891</v>
      </c>
      <c r="F110" s="59">
        <f t="shared" si="5"/>
        <v>174.56522651110262</v>
      </c>
      <c r="G110" s="59">
        <f t="shared" si="6"/>
        <v>392.63053498324325</v>
      </c>
      <c r="H110" s="59">
        <f t="shared" si="7"/>
        <v>567.1957614943459</v>
      </c>
    </row>
    <row r="111" spans="4:8">
      <c r="D111" s="58">
        <f t="shared" si="8"/>
        <v>106</v>
      </c>
      <c r="E111" s="59">
        <f t="shared" si="9"/>
        <v>64062.222330654651</v>
      </c>
      <c r="F111" s="59">
        <f t="shared" si="5"/>
        <v>173.50185214552303</v>
      </c>
      <c r="G111" s="59">
        <f t="shared" si="6"/>
        <v>393.6939093488229</v>
      </c>
      <c r="H111" s="59">
        <f t="shared" si="7"/>
        <v>567.1957614943459</v>
      </c>
    </row>
    <row r="112" spans="4:8">
      <c r="D112" s="58">
        <f t="shared" si="8"/>
        <v>107</v>
      </c>
      <c r="E112" s="59">
        <f t="shared" si="9"/>
        <v>63668.528421305826</v>
      </c>
      <c r="F112" s="59">
        <f t="shared" si="5"/>
        <v>172.43559780770329</v>
      </c>
      <c r="G112" s="59">
        <f t="shared" si="6"/>
        <v>394.76016368664261</v>
      </c>
      <c r="H112" s="59">
        <f t="shared" si="7"/>
        <v>567.1957614943459</v>
      </c>
    </row>
    <row r="113" spans="4:8">
      <c r="D113" s="58">
        <f t="shared" si="8"/>
        <v>108</v>
      </c>
      <c r="E113" s="59">
        <f t="shared" si="9"/>
        <v>63273.76825761918</v>
      </c>
      <c r="F113" s="59">
        <f t="shared" si="5"/>
        <v>171.36645569771861</v>
      </c>
      <c r="G113" s="59">
        <f t="shared" si="6"/>
        <v>395.8293057966273</v>
      </c>
      <c r="H113" s="59">
        <f t="shared" si="7"/>
        <v>567.1957614943459</v>
      </c>
    </row>
    <row r="114" spans="4:8">
      <c r="D114" s="58">
        <f t="shared" si="8"/>
        <v>109</v>
      </c>
      <c r="E114" s="59">
        <f t="shared" si="9"/>
        <v>62877.938951822551</v>
      </c>
      <c r="F114" s="59">
        <f t="shared" si="5"/>
        <v>170.29441799451942</v>
      </c>
      <c r="G114" s="59">
        <f t="shared" si="6"/>
        <v>396.90134349982645</v>
      </c>
      <c r="H114" s="59">
        <f t="shared" si="7"/>
        <v>567.1957614943459</v>
      </c>
    </row>
    <row r="115" spans="4:8">
      <c r="D115" s="58">
        <f t="shared" si="8"/>
        <v>110</v>
      </c>
      <c r="E115" s="59">
        <f t="shared" si="9"/>
        <v>62481.037608322724</v>
      </c>
      <c r="F115" s="59">
        <f t="shared" si="5"/>
        <v>169.21947685587406</v>
      </c>
      <c r="G115" s="59">
        <f t="shared" si="6"/>
        <v>397.97628463847184</v>
      </c>
      <c r="H115" s="59">
        <f t="shared" si="7"/>
        <v>567.1957614943459</v>
      </c>
    </row>
    <row r="116" spans="4:8">
      <c r="D116" s="58">
        <f t="shared" si="8"/>
        <v>111</v>
      </c>
      <c r="E116" s="59">
        <f t="shared" si="9"/>
        <v>62083.061323684255</v>
      </c>
      <c r="F116" s="59">
        <f t="shared" si="5"/>
        <v>168.14162441831152</v>
      </c>
      <c r="G116" s="59">
        <f t="shared" si="6"/>
        <v>399.05413707603441</v>
      </c>
      <c r="H116" s="59">
        <f t="shared" si="7"/>
        <v>567.1957614943459</v>
      </c>
    </row>
    <row r="117" spans="4:8">
      <c r="D117" s="58">
        <f t="shared" si="8"/>
        <v>112</v>
      </c>
      <c r="E117" s="59">
        <f t="shared" si="9"/>
        <v>61684.007186608222</v>
      </c>
      <c r="F117" s="59">
        <f t="shared" si="5"/>
        <v>167.06085279706394</v>
      </c>
      <c r="G117" s="59">
        <f t="shared" si="6"/>
        <v>400.13490869728196</v>
      </c>
      <c r="H117" s="59">
        <f t="shared" si="7"/>
        <v>567.1957614943459</v>
      </c>
    </row>
    <row r="118" spans="4:8">
      <c r="D118" s="58">
        <f t="shared" si="8"/>
        <v>113</v>
      </c>
      <c r="E118" s="59">
        <f t="shared" si="9"/>
        <v>61283.872277910938</v>
      </c>
      <c r="F118" s="59">
        <f t="shared" si="5"/>
        <v>165.9771540860088</v>
      </c>
      <c r="G118" s="59">
        <f t="shared" si="6"/>
        <v>401.21860740833711</v>
      </c>
      <c r="H118" s="59">
        <f t="shared" si="7"/>
        <v>567.1957614943459</v>
      </c>
    </row>
    <row r="119" spans="4:8">
      <c r="D119" s="58">
        <f t="shared" si="8"/>
        <v>114</v>
      </c>
      <c r="E119" s="59">
        <f t="shared" si="9"/>
        <v>60882.653670502601</v>
      </c>
      <c r="F119" s="59">
        <f t="shared" si="5"/>
        <v>164.89052035761122</v>
      </c>
      <c r="G119" s="59">
        <f t="shared" si="6"/>
        <v>402.30524113673471</v>
      </c>
      <c r="H119" s="59">
        <f t="shared" si="7"/>
        <v>567.1957614943459</v>
      </c>
    </row>
    <row r="120" spans="4:8">
      <c r="D120" s="58">
        <f t="shared" si="8"/>
        <v>115</v>
      </c>
      <c r="E120" s="59">
        <f t="shared" si="9"/>
        <v>60480.348429365869</v>
      </c>
      <c r="F120" s="59">
        <f t="shared" si="5"/>
        <v>163.8009436628659</v>
      </c>
      <c r="G120" s="59">
        <f t="shared" si="6"/>
        <v>403.39481783148</v>
      </c>
      <c r="H120" s="59">
        <f t="shared" si="7"/>
        <v>567.1957614943459</v>
      </c>
    </row>
    <row r="121" spans="4:8">
      <c r="D121" s="58">
        <f t="shared" si="8"/>
        <v>116</v>
      </c>
      <c r="E121" s="59">
        <f t="shared" si="9"/>
        <v>60076.953611534387</v>
      </c>
      <c r="F121" s="59">
        <f t="shared" si="5"/>
        <v>162.70841603123898</v>
      </c>
      <c r="G121" s="59">
        <f t="shared" si="6"/>
        <v>404.48734546310692</v>
      </c>
      <c r="H121" s="59">
        <f t="shared" si="7"/>
        <v>567.1957614943459</v>
      </c>
    </row>
    <row r="122" spans="4:8">
      <c r="D122" s="58">
        <f t="shared" si="8"/>
        <v>117</v>
      </c>
      <c r="E122" s="59">
        <f t="shared" si="9"/>
        <v>59672.466266071278</v>
      </c>
      <c r="F122" s="59">
        <f t="shared" si="5"/>
        <v>161.61292947060971</v>
      </c>
      <c r="G122" s="59">
        <f t="shared" si="6"/>
        <v>405.58283202373616</v>
      </c>
      <c r="H122" s="59">
        <f t="shared" si="7"/>
        <v>567.1957614943459</v>
      </c>
    </row>
    <row r="123" spans="4:8">
      <c r="D123" s="58">
        <f t="shared" si="8"/>
        <v>118</v>
      </c>
      <c r="E123" s="59">
        <f t="shared" si="9"/>
        <v>59266.883434047544</v>
      </c>
      <c r="F123" s="59">
        <f t="shared" si="5"/>
        <v>160.51447596721209</v>
      </c>
      <c r="G123" s="59">
        <f t="shared" si="6"/>
        <v>406.68128552713381</v>
      </c>
      <c r="H123" s="59">
        <f t="shared" si="7"/>
        <v>567.1957614943459</v>
      </c>
    </row>
    <row r="124" spans="4:8">
      <c r="D124" s="58">
        <f t="shared" si="8"/>
        <v>119</v>
      </c>
      <c r="E124" s="59">
        <f t="shared" si="9"/>
        <v>58860.20214852041</v>
      </c>
      <c r="F124" s="59">
        <f t="shared" si="5"/>
        <v>159.4130474855761</v>
      </c>
      <c r="G124" s="59">
        <f t="shared" si="6"/>
        <v>407.7827140087698</v>
      </c>
      <c r="H124" s="59">
        <f t="shared" si="7"/>
        <v>567.1957614943459</v>
      </c>
    </row>
    <row r="125" spans="4:8">
      <c r="D125" s="58">
        <f t="shared" si="8"/>
        <v>120</v>
      </c>
      <c r="E125" s="59">
        <f t="shared" si="9"/>
        <v>58452.419434511641</v>
      </c>
      <c r="F125" s="59">
        <f t="shared" si="5"/>
        <v>158.30863596846902</v>
      </c>
      <c r="G125" s="59">
        <f t="shared" si="6"/>
        <v>408.88712552587685</v>
      </c>
      <c r="H125" s="59">
        <f t="shared" si="7"/>
        <v>567.1957614943459</v>
      </c>
    </row>
    <row r="126" spans="4:8">
      <c r="D126" s="58">
        <f t="shared" si="8"/>
        <v>121</v>
      </c>
      <c r="E126" s="59">
        <f t="shared" si="9"/>
        <v>58043.532308985763</v>
      </c>
      <c r="F126" s="59">
        <f t="shared" si="5"/>
        <v>157.20123333683645</v>
      </c>
      <c r="G126" s="59">
        <f t="shared" si="6"/>
        <v>409.99452815750942</v>
      </c>
      <c r="H126" s="59">
        <f t="shared" si="7"/>
        <v>567.1957614943459</v>
      </c>
    </row>
    <row r="127" spans="4:8">
      <c r="D127" s="58">
        <f t="shared" si="8"/>
        <v>122</v>
      </c>
      <c r="E127" s="59">
        <f t="shared" si="9"/>
        <v>57633.53778082825</v>
      </c>
      <c r="F127" s="59">
        <f t="shared" si="5"/>
        <v>156.09083148974318</v>
      </c>
      <c r="G127" s="59">
        <f t="shared" si="6"/>
        <v>411.10493000460269</v>
      </c>
      <c r="H127" s="59">
        <f t="shared" si="7"/>
        <v>567.1957614943459</v>
      </c>
    </row>
    <row r="128" spans="4:8">
      <c r="D128" s="58">
        <f t="shared" si="8"/>
        <v>123</v>
      </c>
      <c r="E128" s="59">
        <f t="shared" si="9"/>
        <v>57222.43285082365</v>
      </c>
      <c r="F128" s="59">
        <f t="shared" si="5"/>
        <v>154.97742230431405</v>
      </c>
      <c r="G128" s="59">
        <f t="shared" si="6"/>
        <v>412.21833919003188</v>
      </c>
      <c r="H128" s="59">
        <f t="shared" si="7"/>
        <v>567.1957614943459</v>
      </c>
    </row>
    <row r="129" spans="4:8">
      <c r="D129" s="58">
        <f t="shared" si="8"/>
        <v>124</v>
      </c>
      <c r="E129" s="59">
        <f t="shared" si="9"/>
        <v>56810.214511633618</v>
      </c>
      <c r="F129" s="59">
        <f t="shared" si="5"/>
        <v>153.86099763567438</v>
      </c>
      <c r="G129" s="59">
        <f t="shared" si="6"/>
        <v>413.33476385867152</v>
      </c>
      <c r="H129" s="59">
        <f t="shared" si="7"/>
        <v>567.1957614943459</v>
      </c>
    </row>
    <row r="130" spans="4:8">
      <c r="D130" s="58">
        <f t="shared" si="8"/>
        <v>125</v>
      </c>
      <c r="E130" s="59">
        <f t="shared" si="9"/>
        <v>56396.879747774947</v>
      </c>
      <c r="F130" s="59">
        <f t="shared" si="5"/>
        <v>152.74154931689048</v>
      </c>
      <c r="G130" s="59">
        <f t="shared" si="6"/>
        <v>414.45421217745542</v>
      </c>
      <c r="H130" s="59">
        <f t="shared" si="7"/>
        <v>567.1957614943459</v>
      </c>
    </row>
    <row r="131" spans="4:8">
      <c r="D131" s="58">
        <f t="shared" si="8"/>
        <v>126</v>
      </c>
      <c r="E131" s="59">
        <f t="shared" si="9"/>
        <v>55982.425535597489</v>
      </c>
      <c r="F131" s="59">
        <f t="shared" si="5"/>
        <v>151.61906915890987</v>
      </c>
      <c r="G131" s="59">
        <f t="shared" si="6"/>
        <v>415.57669233543606</v>
      </c>
      <c r="H131" s="59">
        <f t="shared" si="7"/>
        <v>567.1957614943459</v>
      </c>
    </row>
    <row r="132" spans="4:8">
      <c r="D132" s="58">
        <f t="shared" si="8"/>
        <v>127</v>
      </c>
      <c r="E132" s="59">
        <f t="shared" si="9"/>
        <v>55566.848843262051</v>
      </c>
      <c r="F132" s="59">
        <f t="shared" si="5"/>
        <v>150.49354895050141</v>
      </c>
      <c r="G132" s="59">
        <f t="shared" si="6"/>
        <v>416.7022125438445</v>
      </c>
      <c r="H132" s="59">
        <f t="shared" si="7"/>
        <v>567.1957614943459</v>
      </c>
    </row>
    <row r="133" spans="4:8">
      <c r="D133" s="58">
        <f t="shared" si="8"/>
        <v>128</v>
      </c>
      <c r="E133" s="59">
        <f t="shared" si="9"/>
        <v>55150.146630718205</v>
      </c>
      <c r="F133" s="59">
        <f t="shared" si="5"/>
        <v>149.36498045819513</v>
      </c>
      <c r="G133" s="59">
        <f t="shared" si="6"/>
        <v>417.83078103615077</v>
      </c>
      <c r="H133" s="59">
        <f t="shared" si="7"/>
        <v>567.1957614943459</v>
      </c>
    </row>
    <row r="134" spans="4:8">
      <c r="D134" s="58">
        <f t="shared" si="8"/>
        <v>129</v>
      </c>
      <c r="E134" s="59">
        <f t="shared" si="9"/>
        <v>54732.315849682054</v>
      </c>
      <c r="F134" s="59">
        <f t="shared" si="5"/>
        <v>148.23335542622223</v>
      </c>
      <c r="G134" s="59">
        <f t="shared" si="6"/>
        <v>418.96240606812364</v>
      </c>
      <c r="H134" s="59">
        <f t="shared" si="7"/>
        <v>567.1957614943459</v>
      </c>
    </row>
    <row r="135" spans="4:8">
      <c r="D135" s="58">
        <f t="shared" si="8"/>
        <v>130</v>
      </c>
      <c r="E135" s="59">
        <f t="shared" si="9"/>
        <v>54313.353443613931</v>
      </c>
      <c r="F135" s="59">
        <f t="shared" ref="F135:F198" si="10">+$B$7/$B$6*E135</f>
        <v>147.09866557645441</v>
      </c>
      <c r="G135" s="59">
        <f t="shared" ref="G135:G198" si="11">+H135-F135</f>
        <v>420.09709591789147</v>
      </c>
      <c r="H135" s="59">
        <f t="shared" ref="H135:H198" si="12">PMT(+$B$7/$B$6,$B$5,-$B$4)</f>
        <v>567.1957614943459</v>
      </c>
    </row>
    <row r="136" spans="4:8">
      <c r="D136" s="58">
        <f t="shared" ref="D136:D199" si="13">+D135+1</f>
        <v>131</v>
      </c>
      <c r="E136" s="59">
        <f t="shared" ref="E136:E199" si="14">+E135-G135</f>
        <v>53893.256347696042</v>
      </c>
      <c r="F136" s="59">
        <f t="shared" si="10"/>
        <v>145.96090260834345</v>
      </c>
      <c r="G136" s="59">
        <f t="shared" si="11"/>
        <v>421.23485888600248</v>
      </c>
      <c r="H136" s="59">
        <f t="shared" si="12"/>
        <v>567.1957614943459</v>
      </c>
    </row>
    <row r="137" spans="4:8">
      <c r="D137" s="58">
        <f t="shared" si="13"/>
        <v>132</v>
      </c>
      <c r="E137" s="59">
        <f t="shared" si="14"/>
        <v>53472.021488810038</v>
      </c>
      <c r="F137" s="59">
        <f t="shared" si="10"/>
        <v>144.82005819886052</v>
      </c>
      <c r="G137" s="59">
        <f t="shared" si="11"/>
        <v>422.37570329548538</v>
      </c>
      <c r="H137" s="59">
        <f t="shared" si="12"/>
        <v>567.1957614943459</v>
      </c>
    </row>
    <row r="138" spans="4:8">
      <c r="D138" s="58">
        <f t="shared" si="13"/>
        <v>133</v>
      </c>
      <c r="E138" s="59">
        <f t="shared" si="14"/>
        <v>53049.645785514556</v>
      </c>
      <c r="F138" s="59">
        <f t="shared" si="10"/>
        <v>143.67612400243527</v>
      </c>
      <c r="G138" s="59">
        <f t="shared" si="11"/>
        <v>423.51963749191066</v>
      </c>
      <c r="H138" s="59">
        <f t="shared" si="12"/>
        <v>567.1957614943459</v>
      </c>
    </row>
    <row r="139" spans="4:8">
      <c r="D139" s="58">
        <f t="shared" si="13"/>
        <v>134</v>
      </c>
      <c r="E139" s="59">
        <f t="shared" si="14"/>
        <v>52626.126148022646</v>
      </c>
      <c r="F139" s="59">
        <f t="shared" si="10"/>
        <v>142.52909165089466</v>
      </c>
      <c r="G139" s="59">
        <f t="shared" si="11"/>
        <v>424.66666984345125</v>
      </c>
      <c r="H139" s="59">
        <f t="shared" si="12"/>
        <v>567.1957614943459</v>
      </c>
    </row>
    <row r="140" spans="4:8">
      <c r="D140" s="58">
        <f t="shared" si="13"/>
        <v>135</v>
      </c>
      <c r="E140" s="59">
        <f t="shared" si="14"/>
        <v>52201.459478179197</v>
      </c>
      <c r="F140" s="59">
        <f t="shared" si="10"/>
        <v>141.37895275340199</v>
      </c>
      <c r="G140" s="59">
        <f t="shared" si="11"/>
        <v>425.81680874094388</v>
      </c>
      <c r="H140" s="59">
        <f t="shared" si="12"/>
        <v>567.1957614943459</v>
      </c>
    </row>
    <row r="141" spans="4:8">
      <c r="D141" s="58">
        <f t="shared" si="13"/>
        <v>136</v>
      </c>
      <c r="E141" s="59">
        <f t="shared" si="14"/>
        <v>51775.642669438254</v>
      </c>
      <c r="F141" s="59">
        <f t="shared" si="10"/>
        <v>140.22569889639527</v>
      </c>
      <c r="G141" s="59">
        <f t="shared" si="11"/>
        <v>426.97006259795063</v>
      </c>
      <c r="H141" s="59">
        <f t="shared" si="12"/>
        <v>567.1957614943459</v>
      </c>
    </row>
    <row r="142" spans="4:8">
      <c r="D142" s="58">
        <f t="shared" si="13"/>
        <v>137</v>
      </c>
      <c r="E142" s="59">
        <f t="shared" si="14"/>
        <v>51348.6726068403</v>
      </c>
      <c r="F142" s="59">
        <f t="shared" si="10"/>
        <v>139.06932164352583</v>
      </c>
      <c r="G142" s="59">
        <f t="shared" si="11"/>
        <v>428.12643985082008</v>
      </c>
      <c r="H142" s="59">
        <f t="shared" si="12"/>
        <v>567.1957614943459</v>
      </c>
    </row>
    <row r="143" spans="4:8">
      <c r="D143" s="58">
        <f t="shared" si="13"/>
        <v>138</v>
      </c>
      <c r="E143" s="59">
        <f t="shared" si="14"/>
        <v>50920.546166989479</v>
      </c>
      <c r="F143" s="59">
        <f t="shared" si="10"/>
        <v>137.9098125355965</v>
      </c>
      <c r="G143" s="59">
        <f t="shared" si="11"/>
        <v>429.28594895874937</v>
      </c>
      <c r="H143" s="59">
        <f t="shared" si="12"/>
        <v>567.1957614943459</v>
      </c>
    </row>
    <row r="144" spans="4:8">
      <c r="D144" s="58">
        <f t="shared" si="13"/>
        <v>139</v>
      </c>
      <c r="E144" s="59">
        <f t="shared" si="14"/>
        <v>50491.260218030729</v>
      </c>
      <c r="F144" s="59">
        <f t="shared" si="10"/>
        <v>136.7471630904999</v>
      </c>
      <c r="G144" s="59">
        <f t="shared" si="11"/>
        <v>430.44859840384601</v>
      </c>
      <c r="H144" s="59">
        <f t="shared" si="12"/>
        <v>567.1957614943459</v>
      </c>
    </row>
    <row r="145" spans="4:8">
      <c r="D145" s="58">
        <f t="shared" si="13"/>
        <v>140</v>
      </c>
      <c r="E145" s="59">
        <f t="shared" si="14"/>
        <v>50060.811619626882</v>
      </c>
      <c r="F145" s="59">
        <f t="shared" si="10"/>
        <v>135.58136480315613</v>
      </c>
      <c r="G145" s="59">
        <f t="shared" si="11"/>
        <v>431.61439669118977</v>
      </c>
      <c r="H145" s="59">
        <f t="shared" si="12"/>
        <v>567.1957614943459</v>
      </c>
    </row>
    <row r="146" spans="4:8">
      <c r="D146" s="58">
        <f t="shared" si="13"/>
        <v>141</v>
      </c>
      <c r="E146" s="59">
        <f t="shared" si="14"/>
        <v>49629.197222935691</v>
      </c>
      <c r="F146" s="59">
        <f t="shared" si="10"/>
        <v>134.41240914545082</v>
      </c>
      <c r="G146" s="59">
        <f t="shared" si="11"/>
        <v>432.78335234889505</v>
      </c>
      <c r="H146" s="59">
        <f t="shared" si="12"/>
        <v>567.1957614943459</v>
      </c>
    </row>
    <row r="147" spans="4:8">
      <c r="D147" s="58">
        <f t="shared" si="13"/>
        <v>142</v>
      </c>
      <c r="E147" s="59">
        <f t="shared" si="14"/>
        <v>49196.413870586795</v>
      </c>
      <c r="F147" s="59">
        <f t="shared" si="10"/>
        <v>133.24028756617258</v>
      </c>
      <c r="G147" s="59">
        <f t="shared" si="11"/>
        <v>433.95547392817332</v>
      </c>
      <c r="H147" s="59">
        <f t="shared" si="12"/>
        <v>567.1957614943459</v>
      </c>
    </row>
    <row r="148" spans="4:8">
      <c r="D148" s="58">
        <f t="shared" si="13"/>
        <v>143</v>
      </c>
      <c r="E148" s="59">
        <f t="shared" si="14"/>
        <v>48762.458396658621</v>
      </c>
      <c r="F148" s="59">
        <f t="shared" si="10"/>
        <v>132.06499149095043</v>
      </c>
      <c r="G148" s="59">
        <f t="shared" si="11"/>
        <v>435.13077000339547</v>
      </c>
      <c r="H148" s="59">
        <f t="shared" si="12"/>
        <v>567.1957614943459</v>
      </c>
    </row>
    <row r="149" spans="4:8">
      <c r="D149" s="58">
        <f t="shared" si="13"/>
        <v>144</v>
      </c>
      <c r="E149" s="59">
        <f t="shared" si="14"/>
        <v>48327.327626655228</v>
      </c>
      <c r="F149" s="59">
        <f t="shared" si="10"/>
        <v>130.88651232219124</v>
      </c>
      <c r="G149" s="59">
        <f t="shared" si="11"/>
        <v>436.30924917215464</v>
      </c>
      <c r="H149" s="59">
        <f t="shared" si="12"/>
        <v>567.1957614943459</v>
      </c>
    </row>
    <row r="150" spans="4:8">
      <c r="D150" s="58">
        <f t="shared" si="13"/>
        <v>145</v>
      </c>
      <c r="E150" s="59">
        <f t="shared" si="14"/>
        <v>47891.018377483073</v>
      </c>
      <c r="F150" s="59">
        <f t="shared" si="10"/>
        <v>129.70484143901666</v>
      </c>
      <c r="G150" s="59">
        <f t="shared" si="11"/>
        <v>437.49092005532924</v>
      </c>
      <c r="H150" s="59">
        <f t="shared" si="12"/>
        <v>567.1957614943459</v>
      </c>
    </row>
    <row r="151" spans="4:8">
      <c r="D151" s="58">
        <f t="shared" si="13"/>
        <v>146</v>
      </c>
      <c r="E151" s="59">
        <f t="shared" si="14"/>
        <v>47453.527457427743</v>
      </c>
      <c r="F151" s="59">
        <f t="shared" si="10"/>
        <v>128.51997019720014</v>
      </c>
      <c r="G151" s="59">
        <f t="shared" si="11"/>
        <v>438.67579129714579</v>
      </c>
      <c r="H151" s="59">
        <f t="shared" si="12"/>
        <v>567.1957614943459</v>
      </c>
    </row>
    <row r="152" spans="4:8">
      <c r="D152" s="58">
        <f t="shared" si="13"/>
        <v>147</v>
      </c>
      <c r="E152" s="59">
        <f t="shared" si="14"/>
        <v>47014.851666130598</v>
      </c>
      <c r="F152" s="59">
        <f t="shared" si="10"/>
        <v>127.33188992910371</v>
      </c>
      <c r="G152" s="59">
        <f t="shared" si="11"/>
        <v>439.86387156524222</v>
      </c>
      <c r="H152" s="59">
        <f t="shared" si="12"/>
        <v>567.1957614943459</v>
      </c>
    </row>
    <row r="153" spans="4:8">
      <c r="D153" s="58">
        <f t="shared" si="13"/>
        <v>148</v>
      </c>
      <c r="E153" s="59">
        <f t="shared" si="14"/>
        <v>46574.987794565357</v>
      </c>
      <c r="F153" s="59">
        <f t="shared" si="10"/>
        <v>126.14059194361451</v>
      </c>
      <c r="G153" s="59">
        <f t="shared" si="11"/>
        <v>441.05516955073142</v>
      </c>
      <c r="H153" s="59">
        <f t="shared" si="12"/>
        <v>567.1957614943459</v>
      </c>
    </row>
    <row r="154" spans="4:8">
      <c r="D154" s="58">
        <f t="shared" si="13"/>
        <v>149</v>
      </c>
      <c r="E154" s="59">
        <f t="shared" si="14"/>
        <v>46133.932625014626</v>
      </c>
      <c r="F154" s="59">
        <f t="shared" si="10"/>
        <v>124.94606752608128</v>
      </c>
      <c r="G154" s="59">
        <f t="shared" si="11"/>
        <v>442.24969396826464</v>
      </c>
      <c r="H154" s="59">
        <f t="shared" si="12"/>
        <v>567.1957614943459</v>
      </c>
    </row>
    <row r="155" spans="4:8">
      <c r="D155" s="58">
        <f t="shared" si="13"/>
        <v>150</v>
      </c>
      <c r="E155" s="59">
        <f t="shared" si="14"/>
        <v>45691.682931046358</v>
      </c>
      <c r="F155" s="59">
        <f t="shared" si="10"/>
        <v>123.74830793825056</v>
      </c>
      <c r="G155" s="59">
        <f t="shared" si="11"/>
        <v>443.44745355609535</v>
      </c>
      <c r="H155" s="59">
        <f t="shared" si="12"/>
        <v>567.1957614943459</v>
      </c>
    </row>
    <row r="156" spans="4:8">
      <c r="D156" s="58">
        <f t="shared" si="13"/>
        <v>151</v>
      </c>
      <c r="E156" s="59">
        <f t="shared" si="14"/>
        <v>45248.235477490263</v>
      </c>
      <c r="F156" s="59">
        <f t="shared" si="10"/>
        <v>122.5473044182028</v>
      </c>
      <c r="G156" s="59">
        <f t="shared" si="11"/>
        <v>444.64845707614313</v>
      </c>
      <c r="H156" s="59">
        <f t="shared" si="12"/>
        <v>567.1957614943459</v>
      </c>
    </row>
    <row r="157" spans="4:8">
      <c r="D157" s="58">
        <f t="shared" si="13"/>
        <v>152</v>
      </c>
      <c r="E157" s="59">
        <f t="shared" si="14"/>
        <v>44803.587020414117</v>
      </c>
      <c r="F157" s="59">
        <f t="shared" si="10"/>
        <v>121.34304818028824</v>
      </c>
      <c r="G157" s="59">
        <f t="shared" si="11"/>
        <v>445.85271331405767</v>
      </c>
      <c r="H157" s="59">
        <f t="shared" si="12"/>
        <v>567.1957614943459</v>
      </c>
    </row>
    <row r="158" spans="4:8">
      <c r="D158" s="58">
        <f t="shared" si="13"/>
        <v>153</v>
      </c>
      <c r="E158" s="59">
        <f t="shared" si="14"/>
        <v>44357.734307100058</v>
      </c>
      <c r="F158" s="59">
        <f t="shared" si="10"/>
        <v>120.13553041506266</v>
      </c>
      <c r="G158" s="59">
        <f t="shared" si="11"/>
        <v>447.06023107928326</v>
      </c>
      <c r="H158" s="59">
        <f t="shared" si="12"/>
        <v>567.1957614943459</v>
      </c>
    </row>
    <row r="159" spans="4:8">
      <c r="D159" s="58">
        <f t="shared" si="13"/>
        <v>154</v>
      </c>
      <c r="E159" s="59">
        <f t="shared" si="14"/>
        <v>43910.674076020776</v>
      </c>
      <c r="F159" s="59">
        <f t="shared" si="10"/>
        <v>118.92474228922293</v>
      </c>
      <c r="G159" s="59">
        <f t="shared" si="11"/>
        <v>448.27101920512297</v>
      </c>
      <c r="H159" s="59">
        <f t="shared" si="12"/>
        <v>567.1957614943459</v>
      </c>
    </row>
    <row r="160" spans="4:8">
      <c r="D160" s="58">
        <f t="shared" si="13"/>
        <v>155</v>
      </c>
      <c r="E160" s="59">
        <f t="shared" si="14"/>
        <v>43462.403056815652</v>
      </c>
      <c r="F160" s="59">
        <f t="shared" si="10"/>
        <v>117.71067494554239</v>
      </c>
      <c r="G160" s="59">
        <f t="shared" si="11"/>
        <v>449.48508654880351</v>
      </c>
      <c r="H160" s="59">
        <f t="shared" si="12"/>
        <v>567.1957614943459</v>
      </c>
    </row>
    <row r="161" spans="4:8">
      <c r="D161" s="58">
        <f t="shared" si="13"/>
        <v>156</v>
      </c>
      <c r="E161" s="59">
        <f t="shared" si="14"/>
        <v>43012.917970266848</v>
      </c>
      <c r="F161" s="59">
        <f t="shared" si="10"/>
        <v>116.49331950280605</v>
      </c>
      <c r="G161" s="59">
        <f t="shared" si="11"/>
        <v>450.70244199153984</v>
      </c>
      <c r="H161" s="59">
        <f t="shared" si="12"/>
        <v>567.1957614943459</v>
      </c>
    </row>
    <row r="162" spans="4:8">
      <c r="D162" s="58">
        <f t="shared" si="13"/>
        <v>157</v>
      </c>
      <c r="E162" s="59">
        <f t="shared" si="14"/>
        <v>42562.215528275308</v>
      </c>
      <c r="F162" s="59">
        <f t="shared" si="10"/>
        <v>115.27266705574563</v>
      </c>
      <c r="G162" s="59">
        <f t="shared" si="11"/>
        <v>451.92309443860029</v>
      </c>
      <c r="H162" s="59">
        <f t="shared" si="12"/>
        <v>567.1957614943459</v>
      </c>
    </row>
    <row r="163" spans="4:8">
      <c r="D163" s="58">
        <f t="shared" si="13"/>
        <v>158</v>
      </c>
      <c r="E163" s="59">
        <f t="shared" si="14"/>
        <v>42110.292433836708</v>
      </c>
      <c r="F163" s="59">
        <f t="shared" si="10"/>
        <v>114.04870867497442</v>
      </c>
      <c r="G163" s="59">
        <f t="shared" si="11"/>
        <v>453.14705281937148</v>
      </c>
      <c r="H163" s="59">
        <f t="shared" si="12"/>
        <v>567.1957614943459</v>
      </c>
    </row>
    <row r="164" spans="4:8">
      <c r="D164" s="58">
        <f t="shared" si="13"/>
        <v>159</v>
      </c>
      <c r="E164" s="59">
        <f t="shared" si="14"/>
        <v>41657.145381017333</v>
      </c>
      <c r="F164" s="59">
        <f t="shared" si="10"/>
        <v>112.82143540692195</v>
      </c>
      <c r="G164" s="59">
        <f t="shared" si="11"/>
        <v>454.37432608742392</v>
      </c>
      <c r="H164" s="59">
        <f t="shared" si="12"/>
        <v>567.1957614943459</v>
      </c>
    </row>
    <row r="165" spans="4:8">
      <c r="D165" s="58">
        <f t="shared" si="13"/>
        <v>160</v>
      </c>
      <c r="E165" s="59">
        <f t="shared" si="14"/>
        <v>41202.771054929908</v>
      </c>
      <c r="F165" s="59">
        <f t="shared" si="10"/>
        <v>111.59083827376851</v>
      </c>
      <c r="G165" s="59">
        <f t="shared" si="11"/>
        <v>455.6049232205774</v>
      </c>
      <c r="H165" s="59">
        <f t="shared" si="12"/>
        <v>567.1957614943459</v>
      </c>
    </row>
    <row r="166" spans="4:8">
      <c r="D166" s="58">
        <f t="shared" si="13"/>
        <v>161</v>
      </c>
      <c r="E166" s="59">
        <f t="shared" si="14"/>
        <v>40747.166131709331</v>
      </c>
      <c r="F166" s="59">
        <f t="shared" si="10"/>
        <v>110.35690827337945</v>
      </c>
      <c r="G166" s="59">
        <f t="shared" si="11"/>
        <v>456.83885322096648</v>
      </c>
      <c r="H166" s="59">
        <f t="shared" si="12"/>
        <v>567.1957614943459</v>
      </c>
    </row>
    <row r="167" spans="4:8">
      <c r="D167" s="58">
        <f t="shared" si="13"/>
        <v>162</v>
      </c>
      <c r="E167" s="59">
        <f t="shared" si="14"/>
        <v>40290.327278488367</v>
      </c>
      <c r="F167" s="59">
        <f t="shared" si="10"/>
        <v>109.11963637923932</v>
      </c>
      <c r="G167" s="59">
        <f t="shared" si="11"/>
        <v>458.07612511510661</v>
      </c>
      <c r="H167" s="59">
        <f t="shared" si="12"/>
        <v>567.1957614943459</v>
      </c>
    </row>
    <row r="168" spans="4:8">
      <c r="D168" s="58">
        <f t="shared" si="13"/>
        <v>163</v>
      </c>
      <c r="E168" s="59">
        <f t="shared" si="14"/>
        <v>39832.251153373261</v>
      </c>
      <c r="F168" s="59">
        <f t="shared" si="10"/>
        <v>107.87901354038593</v>
      </c>
      <c r="G168" s="59">
        <f t="shared" si="11"/>
        <v>459.31674795395998</v>
      </c>
      <c r="H168" s="59">
        <f t="shared" si="12"/>
        <v>567.1957614943459</v>
      </c>
    </row>
    <row r="169" spans="4:8">
      <c r="D169" s="58">
        <f t="shared" si="13"/>
        <v>164</v>
      </c>
      <c r="E169" s="59">
        <f t="shared" si="14"/>
        <v>39372.934405419299</v>
      </c>
      <c r="F169" s="59">
        <f t="shared" si="10"/>
        <v>106.63503068134393</v>
      </c>
      <c r="G169" s="59">
        <f t="shared" si="11"/>
        <v>460.56073081300195</v>
      </c>
      <c r="H169" s="59">
        <f t="shared" si="12"/>
        <v>567.1957614943459</v>
      </c>
    </row>
    <row r="170" spans="4:8">
      <c r="D170" s="58">
        <f t="shared" si="13"/>
        <v>165</v>
      </c>
      <c r="E170" s="59">
        <f t="shared" si="14"/>
        <v>38912.3736746063</v>
      </c>
      <c r="F170" s="59">
        <f t="shared" si="10"/>
        <v>105.38767870205874</v>
      </c>
      <c r="G170" s="59">
        <f t="shared" si="11"/>
        <v>461.80808279228717</v>
      </c>
      <c r="H170" s="59">
        <f t="shared" si="12"/>
        <v>567.1957614943459</v>
      </c>
    </row>
    <row r="171" spans="4:8">
      <c r="D171" s="58">
        <f t="shared" si="13"/>
        <v>166</v>
      </c>
      <c r="E171" s="59">
        <f t="shared" si="14"/>
        <v>38450.565591814011</v>
      </c>
      <c r="F171" s="59">
        <f t="shared" si="10"/>
        <v>104.13694847782962</v>
      </c>
      <c r="G171" s="59">
        <f t="shared" si="11"/>
        <v>463.0588130165163</v>
      </c>
      <c r="H171" s="59">
        <f t="shared" si="12"/>
        <v>567.1957614943459</v>
      </c>
    </row>
    <row r="172" spans="4:8">
      <c r="D172" s="58">
        <f t="shared" si="13"/>
        <v>167</v>
      </c>
      <c r="E172" s="59">
        <f t="shared" si="14"/>
        <v>37987.506778797491</v>
      </c>
      <c r="F172" s="59">
        <f t="shared" si="10"/>
        <v>102.88283085924321</v>
      </c>
      <c r="G172" s="59">
        <f t="shared" si="11"/>
        <v>464.3129306351027</v>
      </c>
      <c r="H172" s="59">
        <f t="shared" si="12"/>
        <v>567.1957614943459</v>
      </c>
    </row>
    <row r="173" spans="4:8">
      <c r="D173" s="58">
        <f t="shared" si="13"/>
        <v>168</v>
      </c>
      <c r="E173" s="59">
        <f t="shared" si="14"/>
        <v>37523.193848162387</v>
      </c>
      <c r="F173" s="59">
        <f t="shared" si="10"/>
        <v>101.62531667210646</v>
      </c>
      <c r="G173" s="59">
        <f t="shared" si="11"/>
        <v>465.57044482223944</v>
      </c>
      <c r="H173" s="59">
        <f t="shared" si="12"/>
        <v>567.1957614943459</v>
      </c>
    </row>
    <row r="174" spans="4:8">
      <c r="D174" s="58">
        <f t="shared" si="13"/>
        <v>169</v>
      </c>
      <c r="E174" s="59">
        <f t="shared" si="14"/>
        <v>37057.623403340149</v>
      </c>
      <c r="F174" s="59">
        <f t="shared" si="10"/>
        <v>100.36439671737958</v>
      </c>
      <c r="G174" s="59">
        <f t="shared" si="11"/>
        <v>466.83136477696632</v>
      </c>
      <c r="H174" s="59">
        <f t="shared" si="12"/>
        <v>567.1957614943459</v>
      </c>
    </row>
    <row r="175" spans="4:8">
      <c r="D175" s="58">
        <f t="shared" si="13"/>
        <v>170</v>
      </c>
      <c r="E175" s="59">
        <f t="shared" si="14"/>
        <v>36590.792038563181</v>
      </c>
      <c r="F175" s="59">
        <f t="shared" si="10"/>
        <v>99.100061771108614</v>
      </c>
      <c r="G175" s="59">
        <f t="shared" si="11"/>
        <v>468.09569972323732</v>
      </c>
      <c r="H175" s="59">
        <f t="shared" si="12"/>
        <v>567.1957614943459</v>
      </c>
    </row>
    <row r="176" spans="4:8">
      <c r="D176" s="58">
        <f t="shared" si="13"/>
        <v>171</v>
      </c>
      <c r="E176" s="59">
        <f t="shared" si="14"/>
        <v>36122.696338839945</v>
      </c>
      <c r="F176" s="59">
        <f t="shared" si="10"/>
        <v>97.832302584358189</v>
      </c>
      <c r="G176" s="59">
        <f t="shared" si="11"/>
        <v>469.36345890998768</v>
      </c>
      <c r="H176" s="59">
        <f t="shared" si="12"/>
        <v>567.1957614943459</v>
      </c>
    </row>
    <row r="177" spans="4:8">
      <c r="D177" s="58">
        <f t="shared" si="13"/>
        <v>172</v>
      </c>
      <c r="E177" s="59">
        <f t="shared" si="14"/>
        <v>35653.332879929956</v>
      </c>
      <c r="F177" s="59">
        <f t="shared" si="10"/>
        <v>96.561109883143629</v>
      </c>
      <c r="G177" s="59">
        <f t="shared" si="11"/>
        <v>470.63465161120229</v>
      </c>
      <c r="H177" s="59">
        <f t="shared" si="12"/>
        <v>567.1957614943459</v>
      </c>
    </row>
    <row r="178" spans="4:8">
      <c r="D178" s="58">
        <f t="shared" si="13"/>
        <v>173</v>
      </c>
      <c r="E178" s="59">
        <f t="shared" si="14"/>
        <v>35182.698228318754</v>
      </c>
      <c r="F178" s="59">
        <f t="shared" si="10"/>
        <v>95.286474368363301</v>
      </c>
      <c r="G178" s="59">
        <f t="shared" si="11"/>
        <v>471.90928712598259</v>
      </c>
      <c r="H178" s="59">
        <f t="shared" si="12"/>
        <v>567.1957614943459</v>
      </c>
    </row>
    <row r="179" spans="4:8">
      <c r="D179" s="58">
        <f t="shared" si="13"/>
        <v>174</v>
      </c>
      <c r="E179" s="59">
        <f t="shared" si="14"/>
        <v>34710.788941192768</v>
      </c>
      <c r="F179" s="59">
        <f t="shared" si="10"/>
        <v>94.00838671573041</v>
      </c>
      <c r="G179" s="59">
        <f t="shared" si="11"/>
        <v>473.18737477861549</v>
      </c>
      <c r="H179" s="59">
        <f t="shared" si="12"/>
        <v>567.1957614943459</v>
      </c>
    </row>
    <row r="180" spans="4:8">
      <c r="D180" s="58">
        <f t="shared" si="13"/>
        <v>175</v>
      </c>
      <c r="E180" s="59">
        <f t="shared" si="14"/>
        <v>34237.601566414152</v>
      </c>
      <c r="F180" s="59">
        <f t="shared" si="10"/>
        <v>92.726837575705005</v>
      </c>
      <c r="G180" s="59">
        <f t="shared" si="11"/>
        <v>474.46892391864088</v>
      </c>
      <c r="H180" s="59">
        <f t="shared" si="12"/>
        <v>567.1957614943459</v>
      </c>
    </row>
    <row r="181" spans="4:8">
      <c r="D181" s="58">
        <f t="shared" si="13"/>
        <v>176</v>
      </c>
      <c r="E181" s="59">
        <f t="shared" si="14"/>
        <v>33763.132642495511</v>
      </c>
      <c r="F181" s="59">
        <f t="shared" si="10"/>
        <v>91.44181757342534</v>
      </c>
      <c r="G181" s="59">
        <f t="shared" si="11"/>
        <v>475.75394392092056</v>
      </c>
      <c r="H181" s="59">
        <f t="shared" si="12"/>
        <v>567.1957614943459</v>
      </c>
    </row>
    <row r="182" spans="4:8">
      <c r="D182" s="58">
        <f t="shared" si="13"/>
        <v>177</v>
      </c>
      <c r="E182" s="59">
        <f t="shared" si="14"/>
        <v>33287.37869857459</v>
      </c>
      <c r="F182" s="59">
        <f t="shared" si="10"/>
        <v>90.153317308639515</v>
      </c>
      <c r="G182" s="59">
        <f t="shared" si="11"/>
        <v>477.04244418570636</v>
      </c>
      <c r="H182" s="59">
        <f t="shared" si="12"/>
        <v>567.1957614943459</v>
      </c>
    </row>
    <row r="183" spans="4:8">
      <c r="D183" s="58">
        <f t="shared" si="13"/>
        <v>178</v>
      </c>
      <c r="E183" s="59">
        <f t="shared" si="14"/>
        <v>32810.336254388887</v>
      </c>
      <c r="F183" s="59">
        <f t="shared" si="10"/>
        <v>88.861327355636575</v>
      </c>
      <c r="G183" s="59">
        <f t="shared" si="11"/>
        <v>478.3344341387093</v>
      </c>
      <c r="H183" s="59">
        <f t="shared" si="12"/>
        <v>567.1957614943459</v>
      </c>
    </row>
    <row r="184" spans="4:8">
      <c r="D184" s="58">
        <f t="shared" si="13"/>
        <v>179</v>
      </c>
      <c r="E184" s="59">
        <f t="shared" si="14"/>
        <v>32332.001820250178</v>
      </c>
      <c r="F184" s="59">
        <f t="shared" si="10"/>
        <v>87.565838263177568</v>
      </c>
      <c r="G184" s="59">
        <f t="shared" si="11"/>
        <v>479.62992323116833</v>
      </c>
      <c r="H184" s="59">
        <f t="shared" si="12"/>
        <v>567.1957614943459</v>
      </c>
    </row>
    <row r="185" spans="4:8">
      <c r="D185" s="58">
        <f t="shared" si="13"/>
        <v>180</v>
      </c>
      <c r="E185" s="59">
        <f t="shared" si="14"/>
        <v>31852.371897019009</v>
      </c>
      <c r="F185" s="59">
        <f t="shared" si="10"/>
        <v>86.26684055442648</v>
      </c>
      <c r="G185" s="59">
        <f t="shared" si="11"/>
        <v>480.92892093991941</v>
      </c>
      <c r="H185" s="59">
        <f t="shared" si="12"/>
        <v>567.1957614943459</v>
      </c>
    </row>
    <row r="186" spans="4:8">
      <c r="D186" s="58">
        <f t="shared" si="13"/>
        <v>181</v>
      </c>
      <c r="E186" s="59">
        <f t="shared" si="14"/>
        <v>31371.442976079088</v>
      </c>
      <c r="F186" s="59">
        <f t="shared" si="10"/>
        <v>84.964324726880861</v>
      </c>
      <c r="G186" s="59">
        <f t="shared" si="11"/>
        <v>482.23143676746503</v>
      </c>
      <c r="H186" s="59">
        <f t="shared" si="12"/>
        <v>567.1957614943459</v>
      </c>
    </row>
    <row r="187" spans="4:8">
      <c r="D187" s="58">
        <f t="shared" si="13"/>
        <v>182</v>
      </c>
      <c r="E187" s="59">
        <f t="shared" si="14"/>
        <v>30889.211539311622</v>
      </c>
      <c r="F187" s="59">
        <f t="shared" si="10"/>
        <v>83.658281252302316</v>
      </c>
      <c r="G187" s="59">
        <f t="shared" si="11"/>
        <v>483.53748024204356</v>
      </c>
      <c r="H187" s="59">
        <f t="shared" si="12"/>
        <v>567.1957614943459</v>
      </c>
    </row>
    <row r="188" spans="4:8">
      <c r="D188" s="58">
        <f t="shared" si="13"/>
        <v>183</v>
      </c>
      <c r="E188" s="59">
        <f t="shared" si="14"/>
        <v>30405.674059069577</v>
      </c>
      <c r="F188" s="59">
        <f t="shared" si="10"/>
        <v>82.348700576646777</v>
      </c>
      <c r="G188" s="59">
        <f t="shared" si="11"/>
        <v>484.84706091769914</v>
      </c>
      <c r="H188" s="59">
        <f t="shared" si="12"/>
        <v>567.1957614943459</v>
      </c>
    </row>
    <row r="189" spans="4:8">
      <c r="D189" s="58">
        <f t="shared" si="13"/>
        <v>184</v>
      </c>
      <c r="E189" s="59">
        <f t="shared" si="14"/>
        <v>29920.826998151879</v>
      </c>
      <c r="F189" s="59">
        <f t="shared" si="10"/>
        <v>81.03557311999468</v>
      </c>
      <c r="G189" s="59">
        <f t="shared" si="11"/>
        <v>486.16018837435121</v>
      </c>
      <c r="H189" s="59">
        <f t="shared" si="12"/>
        <v>567.1957614943459</v>
      </c>
    </row>
    <row r="190" spans="4:8">
      <c r="D190" s="58">
        <f t="shared" si="13"/>
        <v>185</v>
      </c>
      <c r="E190" s="59">
        <f t="shared" si="14"/>
        <v>29434.666809777529</v>
      </c>
      <c r="F190" s="59">
        <f t="shared" si="10"/>
        <v>79.718889276480809</v>
      </c>
      <c r="G190" s="59">
        <f t="shared" si="11"/>
        <v>487.47687221786509</v>
      </c>
      <c r="H190" s="59">
        <f t="shared" si="12"/>
        <v>567.1957614943459</v>
      </c>
    </row>
    <row r="191" spans="4:8">
      <c r="D191" s="58">
        <f t="shared" si="13"/>
        <v>186</v>
      </c>
      <c r="E191" s="59">
        <f t="shared" si="14"/>
        <v>28947.189937559662</v>
      </c>
      <c r="F191" s="59">
        <f t="shared" si="10"/>
        <v>78.398639414224093</v>
      </c>
      <c r="G191" s="59">
        <f t="shared" si="11"/>
        <v>488.79712208012182</v>
      </c>
      <c r="H191" s="59">
        <f t="shared" si="12"/>
        <v>567.1957614943459</v>
      </c>
    </row>
    <row r="192" spans="4:8">
      <c r="D192" s="58">
        <f t="shared" si="13"/>
        <v>187</v>
      </c>
      <c r="E192" s="59">
        <f t="shared" si="14"/>
        <v>28458.392815479539</v>
      </c>
      <c r="F192" s="59">
        <f t="shared" si="10"/>
        <v>77.074813875257092</v>
      </c>
      <c r="G192" s="59">
        <f t="shared" si="11"/>
        <v>490.12094761908884</v>
      </c>
      <c r="H192" s="59">
        <f t="shared" si="12"/>
        <v>567.1957614943459</v>
      </c>
    </row>
    <row r="193" spans="4:8">
      <c r="D193" s="58">
        <f t="shared" si="13"/>
        <v>188</v>
      </c>
      <c r="E193" s="59">
        <f t="shared" si="14"/>
        <v>27968.271867860451</v>
      </c>
      <c r="F193" s="59">
        <f t="shared" si="10"/>
        <v>75.747402975455387</v>
      </c>
      <c r="G193" s="59">
        <f t="shared" si="11"/>
        <v>491.44835851889053</v>
      </c>
      <c r="H193" s="59">
        <f t="shared" si="12"/>
        <v>567.1957614943459</v>
      </c>
    </row>
    <row r="194" spans="4:8">
      <c r="D194" s="58">
        <f t="shared" si="13"/>
        <v>189</v>
      </c>
      <c r="E194" s="59">
        <f t="shared" si="14"/>
        <v>27476.823509341561</v>
      </c>
      <c r="F194" s="59">
        <f t="shared" si="10"/>
        <v>74.416397004466731</v>
      </c>
      <c r="G194" s="59">
        <f t="shared" si="11"/>
        <v>492.77936448987919</v>
      </c>
      <c r="H194" s="59">
        <f t="shared" si="12"/>
        <v>567.1957614943459</v>
      </c>
    </row>
    <row r="195" spans="4:8">
      <c r="D195" s="58">
        <f t="shared" si="13"/>
        <v>190</v>
      </c>
      <c r="E195" s="59">
        <f t="shared" si="14"/>
        <v>26984.044144851683</v>
      </c>
      <c r="F195" s="59">
        <f t="shared" si="10"/>
        <v>73.081786225639974</v>
      </c>
      <c r="G195" s="59">
        <f t="shared" si="11"/>
        <v>494.11397526870593</v>
      </c>
      <c r="H195" s="59">
        <f t="shared" si="12"/>
        <v>567.1957614943459</v>
      </c>
    </row>
    <row r="196" spans="4:8">
      <c r="D196" s="58">
        <f t="shared" si="13"/>
        <v>191</v>
      </c>
      <c r="E196" s="59">
        <f t="shared" si="14"/>
        <v>26489.930169582978</v>
      </c>
      <c r="F196" s="59">
        <f t="shared" si="10"/>
        <v>71.743560875953904</v>
      </c>
      <c r="G196" s="59">
        <f t="shared" si="11"/>
        <v>495.452200618392</v>
      </c>
      <c r="H196" s="59">
        <f t="shared" si="12"/>
        <v>567.1957614943459</v>
      </c>
    </row>
    <row r="197" spans="4:8">
      <c r="D197" s="58">
        <f t="shared" si="13"/>
        <v>192</v>
      </c>
      <c r="E197" s="59">
        <f t="shared" si="14"/>
        <v>25994.477968964587</v>
      </c>
      <c r="F197" s="59">
        <f t="shared" si="10"/>
        <v>70.401711165945756</v>
      </c>
      <c r="G197" s="59">
        <f t="shared" si="11"/>
        <v>496.79405032840015</v>
      </c>
      <c r="H197" s="59">
        <f t="shared" si="12"/>
        <v>567.1957614943459</v>
      </c>
    </row>
    <row r="198" spans="4:8">
      <c r="D198" s="58">
        <f t="shared" si="13"/>
        <v>193</v>
      </c>
      <c r="E198" s="59">
        <f t="shared" si="14"/>
        <v>25497.683918636187</v>
      </c>
      <c r="F198" s="59">
        <f t="shared" si="10"/>
        <v>69.056227279639671</v>
      </c>
      <c r="G198" s="59">
        <f t="shared" si="11"/>
        <v>498.13953421470626</v>
      </c>
      <c r="H198" s="59">
        <f t="shared" si="12"/>
        <v>567.1957614943459</v>
      </c>
    </row>
    <row r="199" spans="4:8">
      <c r="D199" s="58">
        <f t="shared" si="13"/>
        <v>194</v>
      </c>
      <c r="E199" s="59">
        <f t="shared" si="14"/>
        <v>24999.544384421479</v>
      </c>
      <c r="F199" s="59">
        <f t="shared" ref="F199:F245" si="15">+$B$7/$B$6*E199</f>
        <v>67.707099374474836</v>
      </c>
      <c r="G199" s="59">
        <f t="shared" ref="G199:G245" si="16">+H199-F199</f>
        <v>499.48866211987104</v>
      </c>
      <c r="H199" s="59">
        <f t="shared" ref="H199:H245" si="17">PMT(+$B$7/$B$6,$B$5,-$B$4)</f>
        <v>567.1957614943459</v>
      </c>
    </row>
    <row r="200" spans="4:8">
      <c r="D200" s="58">
        <f t="shared" ref="D200:D242" si="18">+D199+1</f>
        <v>195</v>
      </c>
      <c r="E200" s="59">
        <f t="shared" ref="E200:E246" si="19">+E199-G199</f>
        <v>24500.055722301608</v>
      </c>
      <c r="F200" s="59">
        <f t="shared" si="15"/>
        <v>66.354317581233516</v>
      </c>
      <c r="G200" s="59">
        <f t="shared" si="16"/>
        <v>500.84144391311236</v>
      </c>
      <c r="H200" s="59">
        <f t="shared" si="17"/>
        <v>567.1957614943459</v>
      </c>
    </row>
    <row r="201" spans="4:8">
      <c r="D201" s="58">
        <f t="shared" si="18"/>
        <v>196</v>
      </c>
      <c r="E201" s="59">
        <f t="shared" si="19"/>
        <v>23999.214278388496</v>
      </c>
      <c r="F201" s="59">
        <f t="shared" si="15"/>
        <v>64.997872003968851</v>
      </c>
      <c r="G201" s="59">
        <f t="shared" si="16"/>
        <v>502.19788949037707</v>
      </c>
      <c r="H201" s="59">
        <f t="shared" si="17"/>
        <v>567.1957614943459</v>
      </c>
    </row>
    <row r="202" spans="4:8">
      <c r="D202" s="58">
        <f t="shared" si="18"/>
        <v>197</v>
      </c>
      <c r="E202" s="59">
        <f t="shared" si="19"/>
        <v>23497.016388898119</v>
      </c>
      <c r="F202" s="59">
        <f t="shared" si="15"/>
        <v>63.637752719932408</v>
      </c>
      <c r="G202" s="59">
        <f t="shared" si="16"/>
        <v>503.55800877441351</v>
      </c>
      <c r="H202" s="59">
        <f t="shared" si="17"/>
        <v>567.1957614943459</v>
      </c>
    </row>
    <row r="203" spans="4:8">
      <c r="D203" s="58">
        <f t="shared" si="18"/>
        <v>198</v>
      </c>
      <c r="E203" s="59">
        <f t="shared" si="19"/>
        <v>22993.458380123706</v>
      </c>
      <c r="F203" s="59">
        <f t="shared" si="15"/>
        <v>62.273949779501706</v>
      </c>
      <c r="G203" s="59">
        <f t="shared" si="16"/>
        <v>504.92181171484418</v>
      </c>
      <c r="H203" s="59">
        <f t="shared" si="17"/>
        <v>567.1957614943459</v>
      </c>
    </row>
    <row r="204" spans="4:8">
      <c r="D204" s="58">
        <f t="shared" si="18"/>
        <v>199</v>
      </c>
      <c r="E204" s="59">
        <f t="shared" si="19"/>
        <v>22488.536568408861</v>
      </c>
      <c r="F204" s="59">
        <f t="shared" si="15"/>
        <v>60.906453206107336</v>
      </c>
      <c r="G204" s="59">
        <f t="shared" si="16"/>
        <v>506.28930828823854</v>
      </c>
      <c r="H204" s="59">
        <f t="shared" si="17"/>
        <v>567.1957614943459</v>
      </c>
    </row>
    <row r="205" spans="4:8">
      <c r="D205" s="58">
        <f t="shared" si="18"/>
        <v>200</v>
      </c>
      <c r="E205" s="59">
        <f t="shared" si="19"/>
        <v>21982.247260120621</v>
      </c>
      <c r="F205" s="59">
        <f t="shared" si="15"/>
        <v>59.535252996160018</v>
      </c>
      <c r="G205" s="59">
        <f t="shared" si="16"/>
        <v>507.66050849818589</v>
      </c>
      <c r="H205" s="59">
        <f t="shared" si="17"/>
        <v>567.1957614943459</v>
      </c>
    </row>
    <row r="206" spans="4:8">
      <c r="D206" s="58">
        <f t="shared" si="18"/>
        <v>201</v>
      </c>
      <c r="E206" s="59">
        <f t="shared" si="19"/>
        <v>21474.586751622435</v>
      </c>
      <c r="F206" s="59">
        <f t="shared" si="15"/>
        <v>58.160339118977433</v>
      </c>
      <c r="G206" s="59">
        <f t="shared" si="16"/>
        <v>509.03542237536846</v>
      </c>
      <c r="H206" s="59">
        <f t="shared" si="17"/>
        <v>567.1957614943459</v>
      </c>
    </row>
    <row r="207" spans="4:8">
      <c r="D207" s="58">
        <f t="shared" si="18"/>
        <v>202</v>
      </c>
      <c r="E207" s="59">
        <f t="shared" si="19"/>
        <v>20965.551329247068</v>
      </c>
      <c r="F207" s="59">
        <f t="shared" si="15"/>
        <v>56.781701516710811</v>
      </c>
      <c r="G207" s="59">
        <f t="shared" si="16"/>
        <v>510.41405997763508</v>
      </c>
      <c r="H207" s="59">
        <f t="shared" si="17"/>
        <v>567.1957614943459</v>
      </c>
    </row>
    <row r="208" spans="4:8">
      <c r="D208" s="58">
        <f t="shared" si="18"/>
        <v>203</v>
      </c>
      <c r="E208" s="59">
        <f t="shared" si="19"/>
        <v>20455.137269269431</v>
      </c>
      <c r="F208" s="59">
        <f t="shared" si="15"/>
        <v>55.399330104271378</v>
      </c>
      <c r="G208" s="59">
        <f t="shared" si="16"/>
        <v>511.79643139007453</v>
      </c>
      <c r="H208" s="59">
        <f t="shared" si="17"/>
        <v>567.1957614943459</v>
      </c>
    </row>
    <row r="209" spans="4:8">
      <c r="D209" s="58">
        <f t="shared" si="18"/>
        <v>204</v>
      </c>
      <c r="E209" s="59">
        <f t="shared" si="19"/>
        <v>19943.340837879357</v>
      </c>
      <c r="F209" s="59">
        <f t="shared" si="15"/>
        <v>54.013214769256592</v>
      </c>
      <c r="G209" s="59">
        <f t="shared" si="16"/>
        <v>513.18254672508931</v>
      </c>
      <c r="H209" s="59">
        <f t="shared" si="17"/>
        <v>567.1957614943459</v>
      </c>
    </row>
    <row r="210" spans="4:8">
      <c r="D210" s="58">
        <f t="shared" si="18"/>
        <v>205</v>
      </c>
      <c r="E210" s="59">
        <f t="shared" si="19"/>
        <v>19430.158291154268</v>
      </c>
      <c r="F210" s="59">
        <f t="shared" si="15"/>
        <v>52.623345371876148</v>
      </c>
      <c r="G210" s="59">
        <f t="shared" si="16"/>
        <v>514.5724161224698</v>
      </c>
      <c r="H210" s="59">
        <f t="shared" si="17"/>
        <v>567.1957614943459</v>
      </c>
    </row>
    <row r="211" spans="4:8">
      <c r="D211" s="58">
        <f t="shared" si="18"/>
        <v>206</v>
      </c>
      <c r="E211" s="59">
        <f t="shared" si="19"/>
        <v>18915.5858750318</v>
      </c>
      <c r="F211" s="59">
        <f t="shared" si="15"/>
        <v>51.229711744877797</v>
      </c>
      <c r="G211" s="59">
        <f t="shared" si="16"/>
        <v>515.96604974946808</v>
      </c>
      <c r="H211" s="59">
        <f t="shared" si="17"/>
        <v>567.1957614943459</v>
      </c>
    </row>
    <row r="212" spans="4:8">
      <c r="D212" s="58">
        <f t="shared" si="18"/>
        <v>207</v>
      </c>
      <c r="E212" s="59">
        <f t="shared" si="19"/>
        <v>18399.619825282331</v>
      </c>
      <c r="F212" s="59">
        <f t="shared" si="15"/>
        <v>49.83230369347298</v>
      </c>
      <c r="G212" s="59">
        <f t="shared" si="16"/>
        <v>517.36345780087288</v>
      </c>
      <c r="H212" s="59">
        <f t="shared" si="17"/>
        <v>567.1957614943459</v>
      </c>
    </row>
    <row r="213" spans="4:8">
      <c r="D213" s="58">
        <f t="shared" si="18"/>
        <v>208</v>
      </c>
      <c r="E213" s="59">
        <f t="shared" si="19"/>
        <v>17882.256367481459</v>
      </c>
      <c r="F213" s="59">
        <f t="shared" si="15"/>
        <v>48.431110995262287</v>
      </c>
      <c r="G213" s="59">
        <f t="shared" si="16"/>
        <v>518.76465049908359</v>
      </c>
      <c r="H213" s="59">
        <f t="shared" si="17"/>
        <v>567.1957614943459</v>
      </c>
    </row>
    <row r="214" spans="4:8">
      <c r="D214" s="58">
        <f t="shared" si="18"/>
        <v>209</v>
      </c>
      <c r="E214" s="59">
        <f t="shared" si="19"/>
        <v>17363.491716982375</v>
      </c>
      <c r="F214" s="59">
        <f t="shared" si="15"/>
        <v>47.0261234001606</v>
      </c>
      <c r="G214" s="59">
        <f t="shared" si="16"/>
        <v>520.1696380941853</v>
      </c>
      <c r="H214" s="59">
        <f t="shared" si="17"/>
        <v>567.1957614943459</v>
      </c>
    </row>
    <row r="215" spans="4:8">
      <c r="D215" s="58">
        <f t="shared" si="18"/>
        <v>210</v>
      </c>
      <c r="E215" s="59">
        <f t="shared" si="19"/>
        <v>16843.322078888188</v>
      </c>
      <c r="F215" s="59">
        <f t="shared" si="15"/>
        <v>45.617330630322179</v>
      </c>
      <c r="G215" s="59">
        <f t="shared" si="16"/>
        <v>521.57843086402374</v>
      </c>
      <c r="H215" s="59">
        <f t="shared" si="17"/>
        <v>567.1957614943459</v>
      </c>
    </row>
    <row r="216" spans="4:8">
      <c r="D216" s="58">
        <f t="shared" si="18"/>
        <v>211</v>
      </c>
      <c r="E216" s="59">
        <f t="shared" si="19"/>
        <v>16321.743648024165</v>
      </c>
      <c r="F216" s="59">
        <f t="shared" si="15"/>
        <v>44.204722380065448</v>
      </c>
      <c r="G216" s="59">
        <f t="shared" si="16"/>
        <v>522.99103911428051</v>
      </c>
      <c r="H216" s="59">
        <f t="shared" si="17"/>
        <v>567.1957614943459</v>
      </c>
    </row>
    <row r="217" spans="4:8">
      <c r="D217" s="58">
        <f t="shared" si="18"/>
        <v>212</v>
      </c>
      <c r="E217" s="59">
        <f t="shared" si="19"/>
        <v>15798.752608909885</v>
      </c>
      <c r="F217" s="59">
        <f t="shared" si="15"/>
        <v>42.788288315797608</v>
      </c>
      <c r="G217" s="59">
        <f t="shared" si="16"/>
        <v>524.40747317854834</v>
      </c>
      <c r="H217" s="59">
        <f t="shared" si="17"/>
        <v>567.1957614943459</v>
      </c>
    </row>
    <row r="218" spans="4:8">
      <c r="D218" s="58">
        <f t="shared" si="18"/>
        <v>213</v>
      </c>
      <c r="E218" s="59">
        <f t="shared" si="19"/>
        <v>15274.345135731337</v>
      </c>
      <c r="F218" s="59">
        <f t="shared" si="15"/>
        <v>41.368018075939041</v>
      </c>
      <c r="G218" s="59">
        <f t="shared" si="16"/>
        <v>525.82774341840684</v>
      </c>
      <c r="H218" s="59">
        <f t="shared" si="17"/>
        <v>567.1957614943459</v>
      </c>
    </row>
    <row r="219" spans="4:8">
      <c r="D219" s="58">
        <f t="shared" si="18"/>
        <v>214</v>
      </c>
      <c r="E219" s="59">
        <f t="shared" si="19"/>
        <v>14748.51739231293</v>
      </c>
      <c r="F219" s="59">
        <f t="shared" si="15"/>
        <v>39.943901270847519</v>
      </c>
      <c r="G219" s="59">
        <f t="shared" si="16"/>
        <v>527.2518602234984</v>
      </c>
      <c r="H219" s="59">
        <f t="shared" si="17"/>
        <v>567.1957614943459</v>
      </c>
    </row>
    <row r="220" spans="4:8">
      <c r="D220" s="58">
        <f t="shared" si="18"/>
        <v>215</v>
      </c>
      <c r="E220" s="59">
        <f t="shared" si="19"/>
        <v>14221.265532089432</v>
      </c>
      <c r="F220" s="59">
        <f t="shared" si="15"/>
        <v>38.515927482742214</v>
      </c>
      <c r="G220" s="59">
        <f t="shared" si="16"/>
        <v>528.6798340116037</v>
      </c>
      <c r="H220" s="59">
        <f t="shared" si="17"/>
        <v>567.1957614943459</v>
      </c>
    </row>
    <row r="221" spans="4:8">
      <c r="D221" s="58">
        <f t="shared" si="18"/>
        <v>216</v>
      </c>
      <c r="E221" s="59">
        <f t="shared" si="19"/>
        <v>13692.585698077828</v>
      </c>
      <c r="F221" s="59">
        <f t="shared" si="15"/>
        <v>37.084086265627455</v>
      </c>
      <c r="G221" s="59">
        <f t="shared" si="16"/>
        <v>530.11167522871847</v>
      </c>
      <c r="H221" s="59">
        <f t="shared" si="17"/>
        <v>567.1957614943459</v>
      </c>
    </row>
    <row r="222" spans="4:8">
      <c r="D222" s="58">
        <f t="shared" si="18"/>
        <v>217</v>
      </c>
      <c r="E222" s="59">
        <f t="shared" si="19"/>
        <v>13162.47402284911</v>
      </c>
      <c r="F222" s="59">
        <f t="shared" si="15"/>
        <v>35.648367145216341</v>
      </c>
      <c r="G222" s="59">
        <f t="shared" si="16"/>
        <v>531.5473943491296</v>
      </c>
      <c r="H222" s="59">
        <f t="shared" si="17"/>
        <v>567.1957614943459</v>
      </c>
    </row>
    <row r="223" spans="4:8">
      <c r="D223" s="58">
        <f t="shared" si="18"/>
        <v>218</v>
      </c>
      <c r="E223" s="59">
        <f t="shared" si="19"/>
        <v>12630.926628499981</v>
      </c>
      <c r="F223" s="59">
        <f t="shared" si="15"/>
        <v>34.208759618854117</v>
      </c>
      <c r="G223" s="59">
        <f t="shared" si="16"/>
        <v>532.98700187549184</v>
      </c>
      <c r="H223" s="59">
        <f t="shared" si="17"/>
        <v>567.1957614943459</v>
      </c>
    </row>
    <row r="224" spans="4:8">
      <c r="D224" s="58">
        <f t="shared" si="18"/>
        <v>219</v>
      </c>
      <c r="E224" s="59">
        <f t="shared" si="19"/>
        <v>12097.939626624489</v>
      </c>
      <c r="F224" s="59">
        <f t="shared" si="15"/>
        <v>32.765253155441329</v>
      </c>
      <c r="G224" s="59">
        <f t="shared" si="16"/>
        <v>534.43050833890459</v>
      </c>
      <c r="H224" s="59">
        <f t="shared" si="17"/>
        <v>567.1957614943459</v>
      </c>
    </row>
    <row r="225" spans="4:8">
      <c r="D225" s="58">
        <f t="shared" si="18"/>
        <v>220</v>
      </c>
      <c r="E225" s="59">
        <f t="shared" si="19"/>
        <v>11563.509118285585</v>
      </c>
      <c r="F225" s="59">
        <f t="shared" si="15"/>
        <v>31.317837195356795</v>
      </c>
      <c r="G225" s="59">
        <f t="shared" si="16"/>
        <v>535.87792429898911</v>
      </c>
      <c r="H225" s="59">
        <f t="shared" si="17"/>
        <v>567.1957614943459</v>
      </c>
    </row>
    <row r="226" spans="4:8">
      <c r="D226" s="58">
        <f t="shared" si="18"/>
        <v>221</v>
      </c>
      <c r="E226" s="59">
        <f t="shared" si="19"/>
        <v>11027.631193986595</v>
      </c>
      <c r="F226" s="59">
        <f t="shared" si="15"/>
        <v>29.866501150380365</v>
      </c>
      <c r="G226" s="59">
        <f t="shared" si="16"/>
        <v>537.32926034396553</v>
      </c>
      <c r="H226" s="59">
        <f t="shared" si="17"/>
        <v>567.1957614943459</v>
      </c>
    </row>
    <row r="227" spans="4:8">
      <c r="D227" s="58">
        <f t="shared" si="18"/>
        <v>222</v>
      </c>
      <c r="E227" s="59">
        <f t="shared" si="19"/>
        <v>10490.30193364263</v>
      </c>
      <c r="F227" s="59">
        <f t="shared" si="15"/>
        <v>28.411234403615456</v>
      </c>
      <c r="G227" s="59">
        <f t="shared" si="16"/>
        <v>538.78452709073042</v>
      </c>
      <c r="H227" s="59">
        <f t="shared" si="17"/>
        <v>567.1957614943459</v>
      </c>
    </row>
    <row r="228" spans="4:8">
      <c r="D228" s="58">
        <f t="shared" si="18"/>
        <v>223</v>
      </c>
      <c r="E228" s="59">
        <f t="shared" si="19"/>
        <v>9951.5174065518986</v>
      </c>
      <c r="F228" s="59">
        <f t="shared" si="15"/>
        <v>26.952026309411394</v>
      </c>
      <c r="G228" s="59">
        <f t="shared" si="16"/>
        <v>540.24373518493451</v>
      </c>
      <c r="H228" s="59">
        <f t="shared" si="17"/>
        <v>567.1957614943459</v>
      </c>
    </row>
    <row r="229" spans="4:8">
      <c r="D229" s="58">
        <f t="shared" si="18"/>
        <v>224</v>
      </c>
      <c r="E229" s="59">
        <f t="shared" si="19"/>
        <v>9411.2736713669638</v>
      </c>
      <c r="F229" s="59">
        <f t="shared" si="15"/>
        <v>25.488866193285528</v>
      </c>
      <c r="G229" s="59">
        <f t="shared" si="16"/>
        <v>541.7068953010604</v>
      </c>
      <c r="H229" s="59">
        <f t="shared" si="17"/>
        <v>567.1957614943459</v>
      </c>
    </row>
    <row r="230" spans="4:8">
      <c r="D230" s="58">
        <f t="shared" si="18"/>
        <v>225</v>
      </c>
      <c r="E230" s="59">
        <f t="shared" si="19"/>
        <v>8869.5667760659035</v>
      </c>
      <c r="F230" s="59">
        <f t="shared" si="15"/>
        <v>24.021743351845156</v>
      </c>
      <c r="G230" s="59">
        <f t="shared" si="16"/>
        <v>543.1740181425007</v>
      </c>
      <c r="H230" s="59">
        <f t="shared" si="17"/>
        <v>567.1957614943459</v>
      </c>
    </row>
    <row r="231" spans="4:8">
      <c r="D231" s="58">
        <f t="shared" si="18"/>
        <v>226</v>
      </c>
      <c r="E231" s="59">
        <f t="shared" si="19"/>
        <v>8326.3927579234023</v>
      </c>
      <c r="F231" s="59">
        <f t="shared" si="15"/>
        <v>22.550647052709216</v>
      </c>
      <c r="G231" s="59">
        <f t="shared" si="16"/>
        <v>544.64511444163668</v>
      </c>
      <c r="H231" s="59">
        <f t="shared" si="17"/>
        <v>567.1957614943459</v>
      </c>
    </row>
    <row r="232" spans="4:8">
      <c r="D232" s="58">
        <f t="shared" si="18"/>
        <v>227</v>
      </c>
      <c r="E232" s="59">
        <f t="shared" si="19"/>
        <v>7781.7476434817654</v>
      </c>
      <c r="F232" s="59">
        <f t="shared" si="15"/>
        <v>21.075566534429782</v>
      </c>
      <c r="G232" s="59">
        <f t="shared" si="16"/>
        <v>546.12019495991615</v>
      </c>
      <c r="H232" s="59">
        <f t="shared" si="17"/>
        <v>567.1957614943459</v>
      </c>
    </row>
    <row r="233" spans="4:8">
      <c r="D233" s="58">
        <f t="shared" si="18"/>
        <v>228</v>
      </c>
      <c r="E233" s="59">
        <f t="shared" si="19"/>
        <v>7235.6274485218491</v>
      </c>
      <c r="F233" s="59">
        <f t="shared" si="15"/>
        <v>19.596491006413341</v>
      </c>
      <c r="G233" s="59">
        <f t="shared" si="16"/>
        <v>547.59927048793259</v>
      </c>
      <c r="H233" s="59">
        <f t="shared" si="17"/>
        <v>567.1957614943459</v>
      </c>
    </row>
    <row r="234" spans="4:8">
      <c r="D234" s="58">
        <f t="shared" si="18"/>
        <v>229</v>
      </c>
      <c r="E234" s="59">
        <f t="shared" si="19"/>
        <v>6688.0281780339164</v>
      </c>
      <c r="F234" s="59">
        <f t="shared" si="15"/>
        <v>18.113409648841859</v>
      </c>
      <c r="G234" s="59">
        <f t="shared" si="16"/>
        <v>549.08235184550404</v>
      </c>
      <c r="H234" s="59">
        <f t="shared" si="17"/>
        <v>567.1957614943459</v>
      </c>
    </row>
    <row r="235" spans="4:8">
      <c r="D235" s="58">
        <f t="shared" si="18"/>
        <v>230</v>
      </c>
      <c r="E235" s="59">
        <f t="shared" si="19"/>
        <v>6138.945826188412</v>
      </c>
      <c r="F235" s="59">
        <f t="shared" si="15"/>
        <v>16.626311612593618</v>
      </c>
      <c r="G235" s="59">
        <f t="shared" si="16"/>
        <v>550.56944988175223</v>
      </c>
      <c r="H235" s="59">
        <f t="shared" si="17"/>
        <v>567.1957614943459</v>
      </c>
    </row>
    <row r="236" spans="4:8">
      <c r="D236" s="58">
        <f t="shared" si="18"/>
        <v>231</v>
      </c>
      <c r="E236" s="59">
        <f t="shared" si="19"/>
        <v>5588.3763763066599</v>
      </c>
      <c r="F236" s="59">
        <f t="shared" si="15"/>
        <v>15.135186019163871</v>
      </c>
      <c r="G236" s="59">
        <f t="shared" si="16"/>
        <v>552.06057547518208</v>
      </c>
      <c r="H236" s="59">
        <f t="shared" si="17"/>
        <v>567.1957614943459</v>
      </c>
    </row>
    <row r="237" spans="4:8">
      <c r="D237" s="58">
        <f t="shared" si="18"/>
        <v>232</v>
      </c>
      <c r="E237" s="59">
        <f t="shared" si="19"/>
        <v>5036.3158008314776</v>
      </c>
      <c r="F237" s="59">
        <f t="shared" si="15"/>
        <v>13.640021960585253</v>
      </c>
      <c r="G237" s="59">
        <f t="shared" si="16"/>
        <v>553.55573953376063</v>
      </c>
      <c r="H237" s="59">
        <f t="shared" si="17"/>
        <v>567.1957614943459</v>
      </c>
    </row>
    <row r="238" spans="4:8">
      <c r="D238" s="58">
        <f t="shared" si="18"/>
        <v>233</v>
      </c>
      <c r="E238" s="59">
        <f t="shared" si="19"/>
        <v>4482.7600612977167</v>
      </c>
      <c r="F238" s="59">
        <f t="shared" si="15"/>
        <v>12.140808499347983</v>
      </c>
      <c r="G238" s="59">
        <f t="shared" si="16"/>
        <v>555.05495299499796</v>
      </c>
      <c r="H238" s="59">
        <f t="shared" si="17"/>
        <v>567.1957614943459</v>
      </c>
    </row>
    <row r="239" spans="4:8">
      <c r="D239" s="58">
        <f t="shared" si="18"/>
        <v>234</v>
      </c>
      <c r="E239" s="59">
        <f t="shared" si="19"/>
        <v>3927.7051083027186</v>
      </c>
      <c r="F239" s="59">
        <f t="shared" si="15"/>
        <v>10.637534668319864</v>
      </c>
      <c r="G239" s="59">
        <f t="shared" si="16"/>
        <v>556.55822682602604</v>
      </c>
      <c r="H239" s="59">
        <f t="shared" si="17"/>
        <v>567.1957614943459</v>
      </c>
    </row>
    <row r="240" spans="4:8">
      <c r="D240" s="58">
        <f t="shared" si="18"/>
        <v>235</v>
      </c>
      <c r="E240" s="59">
        <f t="shared" si="19"/>
        <v>3371.1468814766927</v>
      </c>
      <c r="F240" s="59">
        <f t="shared" si="15"/>
        <v>9.1301894706660427</v>
      </c>
      <c r="G240" s="59">
        <f t="shared" si="16"/>
        <v>558.06557202367981</v>
      </c>
      <c r="H240" s="59">
        <f t="shared" si="17"/>
        <v>567.1957614943459</v>
      </c>
    </row>
    <row r="241" spans="4:8">
      <c r="D241" s="58">
        <f t="shared" si="18"/>
        <v>236</v>
      </c>
      <c r="E241" s="59">
        <f t="shared" si="19"/>
        <v>2813.0813094530131</v>
      </c>
      <c r="F241" s="59">
        <f t="shared" si="15"/>
        <v>7.6187618797685772</v>
      </c>
      <c r="G241" s="59">
        <f t="shared" si="16"/>
        <v>559.57699961457729</v>
      </c>
      <c r="H241" s="59">
        <f t="shared" si="17"/>
        <v>567.1957614943459</v>
      </c>
    </row>
    <row r="242" spans="4:8">
      <c r="D242" s="58">
        <f t="shared" si="18"/>
        <v>237</v>
      </c>
      <c r="E242" s="59">
        <f t="shared" si="19"/>
        <v>2253.5043098384358</v>
      </c>
      <c r="F242" s="59">
        <f t="shared" si="15"/>
        <v>6.103240839145764</v>
      </c>
      <c r="G242" s="59">
        <f t="shared" si="16"/>
        <v>561.09252065520013</v>
      </c>
      <c r="H242" s="59">
        <f t="shared" si="17"/>
        <v>567.1957614943459</v>
      </c>
    </row>
    <row r="243" spans="4:8">
      <c r="D243" s="58">
        <f>+D242+1</f>
        <v>238</v>
      </c>
      <c r="E243" s="59">
        <f t="shared" si="19"/>
        <v>1692.4117891832357</v>
      </c>
      <c r="F243" s="59">
        <f t="shared" si="15"/>
        <v>4.5836152623712634</v>
      </c>
      <c r="G243" s="59">
        <f t="shared" si="16"/>
        <v>562.61214623197463</v>
      </c>
      <c r="H243" s="59">
        <f t="shared" si="17"/>
        <v>567.1957614943459</v>
      </c>
    </row>
    <row r="244" spans="4:8">
      <c r="D244" s="58">
        <f t="shared" ref="D244:D245" si="20">+D243+1</f>
        <v>239</v>
      </c>
      <c r="E244" s="59">
        <f t="shared" si="19"/>
        <v>1129.7996429512609</v>
      </c>
      <c r="F244" s="59">
        <f t="shared" si="15"/>
        <v>3.0598740329929983</v>
      </c>
      <c r="G244" s="59">
        <f t="shared" si="16"/>
        <v>564.13588746135292</v>
      </c>
      <c r="H244" s="59">
        <f t="shared" si="17"/>
        <v>567.1957614943459</v>
      </c>
    </row>
    <row r="245" spans="4:8">
      <c r="D245" s="58">
        <f t="shared" si="20"/>
        <v>240</v>
      </c>
      <c r="E245" s="59">
        <f t="shared" si="19"/>
        <v>565.663755489908</v>
      </c>
      <c r="F245" s="59">
        <f t="shared" si="15"/>
        <v>1.5320060044518342</v>
      </c>
      <c r="G245" s="59">
        <f t="shared" si="16"/>
        <v>565.66375548989402</v>
      </c>
      <c r="H245" s="59">
        <f t="shared" si="17"/>
        <v>567.1957614943459</v>
      </c>
    </row>
    <row r="246" spans="4:8">
      <c r="E246" s="65">
        <f t="shared" si="19"/>
        <v>1.3983481039758772E-11</v>
      </c>
      <c r="F246" s="63">
        <f>+SUM(F6:F245)</f>
        <v>36126.982758643011</v>
      </c>
      <c r="G246" s="63">
        <f t="shared" ref="G246:H246" si="21">+SUM(G6:G245)</f>
        <v>100000.00000000004</v>
      </c>
      <c r="H246" s="63">
        <f t="shared" si="21"/>
        <v>136126.98275864378</v>
      </c>
    </row>
  </sheetData>
  <mergeCells count="2">
    <mergeCell ref="A3:B3"/>
    <mergeCell ref="D3:H3"/>
  </mergeCells>
  <pageMargins left="0.24" right="0.2" top="0.25" bottom="0.23" header="0.21" footer="0.17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R55"/>
  <sheetViews>
    <sheetView workbookViewId="0">
      <selection activeCell="M44" sqref="M44"/>
    </sheetView>
  </sheetViews>
  <sheetFormatPr baseColWidth="10" defaultColWidth="8.83203125" defaultRowHeight="15"/>
  <cols>
    <col min="1" max="1" width="25.1640625" style="1" customWidth="1"/>
    <col min="2" max="2" width="10.5" style="1" bestFit="1" customWidth="1"/>
    <col min="3" max="3" width="2.33203125" style="1" customWidth="1"/>
    <col min="4" max="4" width="9.1640625" style="1" customWidth="1"/>
    <col min="5" max="5" width="6.83203125" style="1" customWidth="1"/>
    <col min="6" max="6" width="11.5" style="1" customWidth="1"/>
    <col min="7" max="7" width="9.6640625" style="1" customWidth="1"/>
    <col min="8" max="8" width="10.6640625" style="1" customWidth="1"/>
    <col min="9" max="9" width="10.33203125" style="1" customWidth="1"/>
    <col min="10" max="16384" width="8.83203125" style="1"/>
  </cols>
  <sheetData>
    <row r="1" spans="1:18" ht="21">
      <c r="A1" s="51" t="s">
        <v>108</v>
      </c>
    </row>
    <row r="2" spans="1:18" ht="15" customHeight="1">
      <c r="A2" s="52"/>
    </row>
    <row r="3" spans="1:18">
      <c r="A3" s="94" t="s">
        <v>86</v>
      </c>
      <c r="B3" s="94"/>
      <c r="D3" s="94" t="s">
        <v>109</v>
      </c>
      <c r="E3" s="94"/>
      <c r="F3" s="95" t="s">
        <v>110</v>
      </c>
      <c r="G3" s="95"/>
      <c r="H3" s="66" t="str">
        <f>IF(B9=0,"POSTECIPADAS","ANTECIPADAS")</f>
        <v>POSTECIPADAS</v>
      </c>
      <c r="I3" s="66"/>
      <c r="L3" s="53" t="s">
        <v>111</v>
      </c>
      <c r="M3" s="53"/>
    </row>
    <row r="4" spans="1:18">
      <c r="A4" s="54" t="s">
        <v>112</v>
      </c>
      <c r="B4" s="55">
        <v>20000</v>
      </c>
    </row>
    <row r="5" spans="1:18">
      <c r="A5" s="54" t="s">
        <v>91</v>
      </c>
      <c r="B5" s="56">
        <v>48</v>
      </c>
      <c r="D5" s="57" t="s">
        <v>92</v>
      </c>
      <c r="E5" s="57" t="s">
        <v>113</v>
      </c>
      <c r="F5" s="57" t="s">
        <v>93</v>
      </c>
      <c r="G5" s="57" t="s">
        <v>94</v>
      </c>
      <c r="H5" s="57" t="s">
        <v>114</v>
      </c>
      <c r="I5" s="57" t="s">
        <v>96</v>
      </c>
      <c r="L5" s="53" t="s">
        <v>115</v>
      </c>
      <c r="M5" s="53"/>
      <c r="N5" s="53"/>
      <c r="O5" s="53"/>
      <c r="P5" s="53"/>
      <c r="Q5" s="53"/>
      <c r="R5" s="53"/>
    </row>
    <row r="6" spans="1:18">
      <c r="A6" s="54" t="s">
        <v>116</v>
      </c>
      <c r="B6" s="56">
        <v>12</v>
      </c>
      <c r="C6" s="61"/>
      <c r="D6" s="58">
        <v>1</v>
      </c>
      <c r="E6" s="58">
        <f>IF(B9=0,D6,D6-1)</f>
        <v>1</v>
      </c>
      <c r="F6" s="59">
        <f>+B4</f>
        <v>20000</v>
      </c>
      <c r="G6" s="59">
        <f>IF(B9=0,+F6*$B$7/$B$6,0)</f>
        <v>100</v>
      </c>
      <c r="H6" s="59">
        <f>+I6-G6</f>
        <v>362.30656933953804</v>
      </c>
      <c r="I6" s="59">
        <f>PMT(+$B$7/$B$6,$B$5,-$B$4,+$B$4*$B$8,$B$9)</f>
        <v>462.30656933953804</v>
      </c>
      <c r="L6" s="53" t="s">
        <v>117</v>
      </c>
      <c r="M6" s="53"/>
      <c r="N6" s="53"/>
      <c r="O6" s="53"/>
      <c r="P6" s="53"/>
      <c r="Q6" s="53"/>
      <c r="R6" s="53"/>
    </row>
    <row r="7" spans="1:18">
      <c r="A7" s="54" t="s">
        <v>99</v>
      </c>
      <c r="B7" s="60">
        <v>0.06</v>
      </c>
      <c r="D7" s="58">
        <f>+D6+1</f>
        <v>2</v>
      </c>
      <c r="E7" s="58">
        <f>+E6+1</f>
        <v>2</v>
      </c>
      <c r="F7" s="59">
        <f>+F6-H6</f>
        <v>19637.693430660463</v>
      </c>
      <c r="G7" s="59">
        <f t="shared" ref="G7:G53" si="0">+$B$7/$B$6*F7</f>
        <v>98.188467153302327</v>
      </c>
      <c r="H7" s="59">
        <f t="shared" ref="H7:H53" si="1">+I7-G7</f>
        <v>364.11810218623572</v>
      </c>
      <c r="I7" s="59">
        <f t="shared" ref="I7:I53" si="2">PMT(+$B$7/$B$6,$B$5,-$B$4,+$B$4*$B$8,$B$9)</f>
        <v>462.30656933953804</v>
      </c>
    </row>
    <row r="8" spans="1:18">
      <c r="A8" s="54" t="s">
        <v>118</v>
      </c>
      <c r="B8" s="67">
        <v>0.02</v>
      </c>
      <c r="D8" s="58">
        <f t="shared" ref="D8:E23" si="3">+D7+1</f>
        <v>3</v>
      </c>
      <c r="E8" s="58">
        <f t="shared" si="3"/>
        <v>3</v>
      </c>
      <c r="F8" s="59">
        <f t="shared" ref="F8:F54" si="4">+F7-H7</f>
        <v>19273.575328474228</v>
      </c>
      <c r="G8" s="59">
        <f t="shared" si="0"/>
        <v>96.367876642371144</v>
      </c>
      <c r="H8" s="59">
        <f t="shared" si="1"/>
        <v>365.93869269716691</v>
      </c>
      <c r="I8" s="59">
        <f t="shared" si="2"/>
        <v>462.30656933953804</v>
      </c>
      <c r="L8" s="53" t="s">
        <v>119</v>
      </c>
      <c r="M8" s="53"/>
      <c r="N8" s="53"/>
      <c r="O8" s="53"/>
      <c r="P8" s="53"/>
      <c r="Q8" s="53"/>
      <c r="R8" s="53"/>
    </row>
    <row r="9" spans="1:18">
      <c r="A9" s="54" t="s">
        <v>120</v>
      </c>
      <c r="B9" s="56">
        <v>0</v>
      </c>
      <c r="C9" s="61"/>
      <c r="D9" s="58">
        <f t="shared" si="3"/>
        <v>4</v>
      </c>
      <c r="E9" s="58">
        <f t="shared" si="3"/>
        <v>4</v>
      </c>
      <c r="F9" s="59">
        <f t="shared" si="4"/>
        <v>18907.63663577706</v>
      </c>
      <c r="G9" s="59">
        <f t="shared" si="0"/>
        <v>94.538183178885305</v>
      </c>
      <c r="H9" s="59">
        <f t="shared" si="1"/>
        <v>367.76838616065277</v>
      </c>
      <c r="I9" s="59">
        <f t="shared" si="2"/>
        <v>462.30656933953804</v>
      </c>
      <c r="L9" s="53" t="s">
        <v>121</v>
      </c>
      <c r="M9" s="53"/>
      <c r="N9" s="53"/>
      <c r="O9" s="53"/>
      <c r="P9" s="53"/>
      <c r="Q9" s="53"/>
      <c r="R9" s="53"/>
    </row>
    <row r="10" spans="1:18" ht="15" customHeight="1">
      <c r="A10" s="61" t="s">
        <v>100</v>
      </c>
      <c r="D10" s="58">
        <f t="shared" si="3"/>
        <v>5</v>
      </c>
      <c r="E10" s="58">
        <f t="shared" si="3"/>
        <v>5</v>
      </c>
      <c r="F10" s="59">
        <f t="shared" si="4"/>
        <v>18539.868249616407</v>
      </c>
      <c r="G10" s="59">
        <f t="shared" si="0"/>
        <v>92.699341248082035</v>
      </c>
      <c r="H10" s="59">
        <f t="shared" si="1"/>
        <v>369.60722809145602</v>
      </c>
      <c r="I10" s="59">
        <f t="shared" si="2"/>
        <v>462.30656933953804</v>
      </c>
      <c r="L10" s="53" t="s">
        <v>122</v>
      </c>
      <c r="M10" s="53"/>
      <c r="N10" s="53"/>
      <c r="O10" s="53"/>
      <c r="P10" s="53"/>
      <c r="Q10" s="53"/>
      <c r="R10" s="53"/>
    </row>
    <row r="11" spans="1:18">
      <c r="A11" s="61" t="s">
        <v>123</v>
      </c>
      <c r="D11" s="58">
        <f t="shared" si="3"/>
        <v>6</v>
      </c>
      <c r="E11" s="58">
        <f t="shared" si="3"/>
        <v>6</v>
      </c>
      <c r="F11" s="59">
        <f t="shared" si="4"/>
        <v>18170.261021524952</v>
      </c>
      <c r="G11" s="59">
        <f t="shared" si="0"/>
        <v>90.851305107624754</v>
      </c>
      <c r="H11" s="59">
        <f t="shared" si="1"/>
        <v>371.4552642319133</v>
      </c>
      <c r="I11" s="59">
        <f t="shared" si="2"/>
        <v>462.30656933953804</v>
      </c>
    </row>
    <row r="12" spans="1:18" ht="15" customHeight="1">
      <c r="D12" s="58">
        <f t="shared" si="3"/>
        <v>7</v>
      </c>
      <c r="E12" s="58">
        <f t="shared" si="3"/>
        <v>7</v>
      </c>
      <c r="F12" s="59">
        <f t="shared" si="4"/>
        <v>17798.805757293037</v>
      </c>
      <c r="G12" s="59">
        <f t="shared" si="0"/>
        <v>88.994028786465194</v>
      </c>
      <c r="H12" s="59">
        <f t="shared" si="1"/>
        <v>373.31254055307284</v>
      </c>
      <c r="I12" s="59">
        <f t="shared" si="2"/>
        <v>462.30656933953804</v>
      </c>
    </row>
    <row r="13" spans="1:18">
      <c r="D13" s="58">
        <f t="shared" si="3"/>
        <v>8</v>
      </c>
      <c r="E13" s="58">
        <f t="shared" si="3"/>
        <v>8</v>
      </c>
      <c r="F13" s="59">
        <f t="shared" si="4"/>
        <v>17425.493216739964</v>
      </c>
      <c r="G13" s="59">
        <f t="shared" si="0"/>
        <v>87.127466083699815</v>
      </c>
      <c r="H13" s="59">
        <f t="shared" si="1"/>
        <v>375.17910325583824</v>
      </c>
      <c r="I13" s="59">
        <f t="shared" si="2"/>
        <v>462.30656933953804</v>
      </c>
    </row>
    <row r="14" spans="1:18">
      <c r="D14" s="58">
        <f t="shared" si="3"/>
        <v>9</v>
      </c>
      <c r="E14" s="58">
        <f t="shared" si="3"/>
        <v>9</v>
      </c>
      <c r="F14" s="59">
        <f t="shared" si="4"/>
        <v>17050.314113484124</v>
      </c>
      <c r="G14" s="59">
        <f t="shared" si="0"/>
        <v>85.251570567420629</v>
      </c>
      <c r="H14" s="59">
        <f t="shared" si="1"/>
        <v>377.05499877211741</v>
      </c>
      <c r="I14" s="59">
        <f t="shared" si="2"/>
        <v>462.30656933953804</v>
      </c>
    </row>
    <row r="15" spans="1:18">
      <c r="D15" s="58">
        <f t="shared" si="3"/>
        <v>10</v>
      </c>
      <c r="E15" s="58">
        <f t="shared" si="3"/>
        <v>10</v>
      </c>
      <c r="F15" s="59">
        <f t="shared" si="4"/>
        <v>16673.259114712007</v>
      </c>
      <c r="G15" s="59">
        <f t="shared" si="0"/>
        <v>83.366295573560038</v>
      </c>
      <c r="H15" s="59">
        <f t="shared" si="1"/>
        <v>378.94027376597802</v>
      </c>
      <c r="I15" s="59">
        <f t="shared" si="2"/>
        <v>462.30656933953804</v>
      </c>
    </row>
    <row r="16" spans="1:18">
      <c r="D16" s="58">
        <f t="shared" si="3"/>
        <v>11</v>
      </c>
      <c r="E16" s="58">
        <f t="shared" si="3"/>
        <v>11</v>
      </c>
      <c r="F16" s="59">
        <f t="shared" si="4"/>
        <v>16294.318840946029</v>
      </c>
      <c r="G16" s="59">
        <f t="shared" si="0"/>
        <v>81.471594204730152</v>
      </c>
      <c r="H16" s="59">
        <f t="shared" si="1"/>
        <v>380.83497513480791</v>
      </c>
      <c r="I16" s="59">
        <f t="shared" si="2"/>
        <v>462.30656933953804</v>
      </c>
    </row>
    <row r="17" spans="4:9">
      <c r="D17" s="58">
        <f t="shared" si="3"/>
        <v>12</v>
      </c>
      <c r="E17" s="58">
        <f t="shared" si="3"/>
        <v>12</v>
      </c>
      <c r="F17" s="59">
        <f t="shared" si="4"/>
        <v>15913.48386581122</v>
      </c>
      <c r="G17" s="59">
        <f t="shared" si="0"/>
        <v>79.567419329056108</v>
      </c>
      <c r="H17" s="59">
        <f t="shared" si="1"/>
        <v>382.73915001048192</v>
      </c>
      <c r="I17" s="59">
        <f t="shared" si="2"/>
        <v>462.30656933953804</v>
      </c>
    </row>
    <row r="18" spans="4:9">
      <c r="D18" s="58">
        <f t="shared" si="3"/>
        <v>13</v>
      </c>
      <c r="E18" s="58">
        <f t="shared" si="3"/>
        <v>13</v>
      </c>
      <c r="F18" s="59">
        <f t="shared" si="4"/>
        <v>15530.744715800738</v>
      </c>
      <c r="G18" s="59">
        <f t="shared" si="0"/>
        <v>77.653723579003696</v>
      </c>
      <c r="H18" s="59">
        <f t="shared" si="1"/>
        <v>384.65284576053432</v>
      </c>
      <c r="I18" s="59">
        <f t="shared" si="2"/>
        <v>462.30656933953804</v>
      </c>
    </row>
    <row r="19" spans="4:9">
      <c r="D19" s="58">
        <f t="shared" si="3"/>
        <v>14</v>
      </c>
      <c r="E19" s="58">
        <f t="shared" si="3"/>
        <v>14</v>
      </c>
      <c r="F19" s="59">
        <f t="shared" si="4"/>
        <v>15146.091870040204</v>
      </c>
      <c r="G19" s="59">
        <f t="shared" si="0"/>
        <v>75.730459350201016</v>
      </c>
      <c r="H19" s="59">
        <f t="shared" si="1"/>
        <v>386.57610998933706</v>
      </c>
      <c r="I19" s="59">
        <f t="shared" si="2"/>
        <v>462.30656933953804</v>
      </c>
    </row>
    <row r="20" spans="4:9">
      <c r="D20" s="58">
        <f t="shared" si="3"/>
        <v>15</v>
      </c>
      <c r="E20" s="58">
        <f t="shared" si="3"/>
        <v>15</v>
      </c>
      <c r="F20" s="59">
        <f t="shared" si="4"/>
        <v>14759.515760050866</v>
      </c>
      <c r="G20" s="59">
        <f t="shared" si="0"/>
        <v>73.797578800254328</v>
      </c>
      <c r="H20" s="59">
        <f t="shared" si="1"/>
        <v>388.50899053928373</v>
      </c>
      <c r="I20" s="59">
        <f t="shared" si="2"/>
        <v>462.30656933953804</v>
      </c>
    </row>
    <row r="21" spans="4:9">
      <c r="D21" s="58">
        <f t="shared" si="3"/>
        <v>16</v>
      </c>
      <c r="E21" s="58">
        <f t="shared" si="3"/>
        <v>16</v>
      </c>
      <c r="F21" s="59">
        <f t="shared" si="4"/>
        <v>14371.006769511583</v>
      </c>
      <c r="G21" s="59">
        <f t="shared" si="0"/>
        <v>71.85503384755792</v>
      </c>
      <c r="H21" s="59">
        <f t="shared" si="1"/>
        <v>390.45153549198011</v>
      </c>
      <c r="I21" s="59">
        <f t="shared" si="2"/>
        <v>462.30656933953804</v>
      </c>
    </row>
    <row r="22" spans="4:9">
      <c r="D22" s="58">
        <f t="shared" si="3"/>
        <v>17</v>
      </c>
      <c r="E22" s="58">
        <f t="shared" si="3"/>
        <v>17</v>
      </c>
      <c r="F22" s="59">
        <f t="shared" si="4"/>
        <v>13980.555234019603</v>
      </c>
      <c r="G22" s="59">
        <f t="shared" si="0"/>
        <v>69.902776170098022</v>
      </c>
      <c r="H22" s="59">
        <f t="shared" si="1"/>
        <v>392.40379316944001</v>
      </c>
      <c r="I22" s="59">
        <f t="shared" si="2"/>
        <v>462.30656933953804</v>
      </c>
    </row>
    <row r="23" spans="4:9">
      <c r="D23" s="58">
        <f t="shared" si="3"/>
        <v>18</v>
      </c>
      <c r="E23" s="58">
        <f t="shared" si="3"/>
        <v>18</v>
      </c>
      <c r="F23" s="59">
        <f t="shared" si="4"/>
        <v>13588.151440850163</v>
      </c>
      <c r="G23" s="59">
        <f t="shared" si="0"/>
        <v>67.940757204250815</v>
      </c>
      <c r="H23" s="59">
        <f t="shared" si="1"/>
        <v>394.36581213528723</v>
      </c>
      <c r="I23" s="59">
        <f t="shared" si="2"/>
        <v>462.30656933953804</v>
      </c>
    </row>
    <row r="24" spans="4:9">
      <c r="D24" s="58">
        <f t="shared" ref="D24:E39" si="5">+D23+1</f>
        <v>19</v>
      </c>
      <c r="E24" s="58">
        <f t="shared" si="5"/>
        <v>19</v>
      </c>
      <c r="F24" s="59">
        <f t="shared" si="4"/>
        <v>13193.785628714875</v>
      </c>
      <c r="G24" s="59">
        <f t="shared" si="0"/>
        <v>65.968928143574374</v>
      </c>
      <c r="H24" s="59">
        <f t="shared" si="1"/>
        <v>396.33764119596367</v>
      </c>
      <c r="I24" s="59">
        <f t="shared" si="2"/>
        <v>462.30656933953804</v>
      </c>
    </row>
    <row r="25" spans="4:9">
      <c r="D25" s="58">
        <f t="shared" si="5"/>
        <v>20</v>
      </c>
      <c r="E25" s="58">
        <f t="shared" si="5"/>
        <v>20</v>
      </c>
      <c r="F25" s="59">
        <f t="shared" si="4"/>
        <v>12797.447987518912</v>
      </c>
      <c r="G25" s="59">
        <f t="shared" si="0"/>
        <v>63.987239937594559</v>
      </c>
      <c r="H25" s="59">
        <f t="shared" si="1"/>
        <v>398.31932940194349</v>
      </c>
      <c r="I25" s="59">
        <f t="shared" si="2"/>
        <v>462.30656933953804</v>
      </c>
    </row>
    <row r="26" spans="4:9">
      <c r="D26" s="58">
        <f t="shared" si="5"/>
        <v>21</v>
      </c>
      <c r="E26" s="58">
        <f t="shared" si="5"/>
        <v>21</v>
      </c>
      <c r="F26" s="59">
        <f t="shared" si="4"/>
        <v>12399.128658116968</v>
      </c>
      <c r="G26" s="59">
        <f t="shared" si="0"/>
        <v>61.995643290584844</v>
      </c>
      <c r="H26" s="59">
        <f t="shared" si="1"/>
        <v>400.31092604895321</v>
      </c>
      <c r="I26" s="59">
        <f t="shared" si="2"/>
        <v>462.30656933953804</v>
      </c>
    </row>
    <row r="27" spans="4:9">
      <c r="D27" s="58">
        <f t="shared" si="5"/>
        <v>22</v>
      </c>
      <c r="E27" s="58">
        <f t="shared" si="5"/>
        <v>22</v>
      </c>
      <c r="F27" s="59">
        <f t="shared" si="4"/>
        <v>11998.817732068015</v>
      </c>
      <c r="G27" s="59">
        <f t="shared" si="0"/>
        <v>59.994088660340076</v>
      </c>
      <c r="H27" s="59">
        <f t="shared" si="1"/>
        <v>402.31248067919796</v>
      </c>
      <c r="I27" s="59">
        <f t="shared" si="2"/>
        <v>462.30656933953804</v>
      </c>
    </row>
    <row r="28" spans="4:9">
      <c r="D28" s="58">
        <f t="shared" si="5"/>
        <v>23</v>
      </c>
      <c r="E28" s="58">
        <f t="shared" si="5"/>
        <v>23</v>
      </c>
      <c r="F28" s="59">
        <f t="shared" si="4"/>
        <v>11596.505251388817</v>
      </c>
      <c r="G28" s="59">
        <f t="shared" si="0"/>
        <v>57.982526256944084</v>
      </c>
      <c r="H28" s="59">
        <f t="shared" si="1"/>
        <v>404.32404308259396</v>
      </c>
      <c r="I28" s="59">
        <f t="shared" si="2"/>
        <v>462.30656933953804</v>
      </c>
    </row>
    <row r="29" spans="4:9">
      <c r="D29" s="58">
        <f t="shared" si="5"/>
        <v>24</v>
      </c>
      <c r="E29" s="58">
        <f t="shared" si="5"/>
        <v>24</v>
      </c>
      <c r="F29" s="59">
        <f t="shared" si="4"/>
        <v>11192.181208306223</v>
      </c>
      <c r="G29" s="59">
        <f t="shared" si="0"/>
        <v>55.960906041531118</v>
      </c>
      <c r="H29" s="59">
        <f t="shared" si="1"/>
        <v>406.34566329800691</v>
      </c>
      <c r="I29" s="59">
        <f t="shared" si="2"/>
        <v>462.30656933953804</v>
      </c>
    </row>
    <row r="30" spans="4:9">
      <c r="D30" s="58">
        <f t="shared" si="5"/>
        <v>25</v>
      </c>
      <c r="E30" s="58">
        <f t="shared" si="5"/>
        <v>25</v>
      </c>
      <c r="F30" s="59">
        <f t="shared" si="4"/>
        <v>10785.835545008216</v>
      </c>
      <c r="G30" s="59">
        <f t="shared" si="0"/>
        <v>53.929177725041086</v>
      </c>
      <c r="H30" s="59">
        <f t="shared" si="1"/>
        <v>408.37739161449696</v>
      </c>
      <c r="I30" s="59">
        <f t="shared" si="2"/>
        <v>462.30656933953804</v>
      </c>
    </row>
    <row r="31" spans="4:9">
      <c r="D31" s="58">
        <f t="shared" si="5"/>
        <v>26</v>
      </c>
      <c r="E31" s="58">
        <f t="shared" si="5"/>
        <v>26</v>
      </c>
      <c r="F31" s="59">
        <f t="shared" si="4"/>
        <v>10377.45815339372</v>
      </c>
      <c r="G31" s="59">
        <f t="shared" si="0"/>
        <v>51.887290766968597</v>
      </c>
      <c r="H31" s="59">
        <f t="shared" si="1"/>
        <v>410.41927857256945</v>
      </c>
      <c r="I31" s="59">
        <f t="shared" si="2"/>
        <v>462.30656933953804</v>
      </c>
    </row>
    <row r="32" spans="4:9">
      <c r="D32" s="58">
        <f t="shared" si="5"/>
        <v>27</v>
      </c>
      <c r="E32" s="58">
        <f t="shared" si="5"/>
        <v>27</v>
      </c>
      <c r="F32" s="59">
        <f t="shared" si="4"/>
        <v>9967.0388748211499</v>
      </c>
      <c r="G32" s="59">
        <f t="shared" si="0"/>
        <v>49.835194374105754</v>
      </c>
      <c r="H32" s="59">
        <f t="shared" si="1"/>
        <v>412.47137496543229</v>
      </c>
      <c r="I32" s="59">
        <f t="shared" si="2"/>
        <v>462.30656933953804</v>
      </c>
    </row>
    <row r="33" spans="4:9">
      <c r="D33" s="58">
        <f t="shared" si="5"/>
        <v>28</v>
      </c>
      <c r="E33" s="58">
        <f t="shared" si="5"/>
        <v>28</v>
      </c>
      <c r="F33" s="59">
        <f t="shared" si="4"/>
        <v>9554.567499855717</v>
      </c>
      <c r="G33" s="59">
        <f t="shared" si="0"/>
        <v>47.772837499278587</v>
      </c>
      <c r="H33" s="59">
        <f t="shared" si="1"/>
        <v>414.53373184025946</v>
      </c>
      <c r="I33" s="59">
        <f t="shared" si="2"/>
        <v>462.30656933953804</v>
      </c>
    </row>
    <row r="34" spans="4:9">
      <c r="D34" s="58">
        <f t="shared" si="5"/>
        <v>29</v>
      </c>
      <c r="E34" s="58">
        <f t="shared" si="5"/>
        <v>29</v>
      </c>
      <c r="F34" s="59">
        <f t="shared" si="4"/>
        <v>9140.0337680154571</v>
      </c>
      <c r="G34" s="59">
        <f t="shared" si="0"/>
        <v>45.700168840077289</v>
      </c>
      <c r="H34" s="59">
        <f t="shared" si="1"/>
        <v>416.60640049946073</v>
      </c>
      <c r="I34" s="59">
        <f t="shared" si="2"/>
        <v>462.30656933953804</v>
      </c>
    </row>
    <row r="35" spans="4:9">
      <c r="D35" s="58">
        <f t="shared" si="5"/>
        <v>30</v>
      </c>
      <c r="E35" s="58">
        <f t="shared" si="5"/>
        <v>30</v>
      </c>
      <c r="F35" s="59">
        <f t="shared" si="4"/>
        <v>8723.4273675159966</v>
      </c>
      <c r="G35" s="59">
        <f t="shared" si="0"/>
        <v>43.617136837579984</v>
      </c>
      <c r="H35" s="59">
        <f t="shared" si="1"/>
        <v>418.68943250195804</v>
      </c>
      <c r="I35" s="59">
        <f t="shared" si="2"/>
        <v>462.30656933953804</v>
      </c>
    </row>
    <row r="36" spans="4:9">
      <c r="D36" s="58">
        <f t="shared" si="5"/>
        <v>31</v>
      </c>
      <c r="E36" s="58">
        <f t="shared" si="5"/>
        <v>31</v>
      </c>
      <c r="F36" s="59">
        <f t="shared" si="4"/>
        <v>8304.7379350140382</v>
      </c>
      <c r="G36" s="59">
        <f t="shared" si="0"/>
        <v>41.523689675070194</v>
      </c>
      <c r="H36" s="59">
        <f t="shared" si="1"/>
        <v>420.78287966446783</v>
      </c>
      <c r="I36" s="59">
        <f t="shared" si="2"/>
        <v>462.30656933953804</v>
      </c>
    </row>
    <row r="37" spans="4:9">
      <c r="D37" s="58">
        <f t="shared" si="5"/>
        <v>32</v>
      </c>
      <c r="E37" s="58">
        <f t="shared" si="5"/>
        <v>32</v>
      </c>
      <c r="F37" s="59">
        <f t="shared" si="4"/>
        <v>7883.9550553495701</v>
      </c>
      <c r="G37" s="59">
        <f t="shared" si="0"/>
        <v>39.419775276747849</v>
      </c>
      <c r="H37" s="59">
        <f t="shared" si="1"/>
        <v>422.88679406279022</v>
      </c>
      <c r="I37" s="59">
        <f t="shared" si="2"/>
        <v>462.30656933953804</v>
      </c>
    </row>
    <row r="38" spans="4:9">
      <c r="D38" s="58">
        <f t="shared" si="5"/>
        <v>33</v>
      </c>
      <c r="E38" s="58">
        <f t="shared" si="5"/>
        <v>33</v>
      </c>
      <c r="F38" s="59">
        <f t="shared" si="4"/>
        <v>7461.0682612867795</v>
      </c>
      <c r="G38" s="59">
        <f t="shared" si="0"/>
        <v>37.305341306433895</v>
      </c>
      <c r="H38" s="59">
        <f t="shared" si="1"/>
        <v>425.00122803310416</v>
      </c>
      <c r="I38" s="59">
        <f t="shared" si="2"/>
        <v>462.30656933953804</v>
      </c>
    </row>
    <row r="39" spans="4:9">
      <c r="D39" s="58">
        <f t="shared" si="5"/>
        <v>34</v>
      </c>
      <c r="E39" s="58">
        <f t="shared" si="5"/>
        <v>34</v>
      </c>
      <c r="F39" s="59">
        <f t="shared" si="4"/>
        <v>7036.0670332536756</v>
      </c>
      <c r="G39" s="59">
        <f t="shared" si="0"/>
        <v>35.180335166268378</v>
      </c>
      <c r="H39" s="59">
        <f t="shared" si="1"/>
        <v>427.12623417326967</v>
      </c>
      <c r="I39" s="59">
        <f t="shared" si="2"/>
        <v>462.30656933953804</v>
      </c>
    </row>
    <row r="40" spans="4:9">
      <c r="D40" s="58">
        <f t="shared" ref="D40:E53" si="6">+D39+1</f>
        <v>35</v>
      </c>
      <c r="E40" s="58">
        <f t="shared" si="6"/>
        <v>35</v>
      </c>
      <c r="F40" s="59">
        <f t="shared" si="4"/>
        <v>6608.9407990804057</v>
      </c>
      <c r="G40" s="59">
        <f t="shared" si="0"/>
        <v>33.044703995402031</v>
      </c>
      <c r="H40" s="59">
        <f t="shared" si="1"/>
        <v>429.26186534413603</v>
      </c>
      <c r="I40" s="59">
        <f t="shared" si="2"/>
        <v>462.30656933953804</v>
      </c>
    </row>
    <row r="41" spans="4:9">
      <c r="D41" s="58">
        <f t="shared" si="6"/>
        <v>36</v>
      </c>
      <c r="E41" s="58">
        <f t="shared" si="6"/>
        <v>36</v>
      </c>
      <c r="F41" s="59">
        <f t="shared" si="4"/>
        <v>6179.6789337362698</v>
      </c>
      <c r="G41" s="59">
        <f t="shared" si="0"/>
        <v>30.898394668681348</v>
      </c>
      <c r="H41" s="59">
        <f t="shared" si="1"/>
        <v>431.40817467085668</v>
      </c>
      <c r="I41" s="59">
        <f t="shared" si="2"/>
        <v>462.30656933953804</v>
      </c>
    </row>
    <row r="42" spans="4:9">
      <c r="D42" s="58">
        <f t="shared" si="6"/>
        <v>37</v>
      </c>
      <c r="E42" s="58">
        <f t="shared" si="6"/>
        <v>37</v>
      </c>
      <c r="F42" s="59">
        <f t="shared" si="4"/>
        <v>5748.2707590654127</v>
      </c>
      <c r="G42" s="59">
        <f t="shared" si="0"/>
        <v>28.741353795327065</v>
      </c>
      <c r="H42" s="59">
        <f t="shared" si="1"/>
        <v>433.56521554421096</v>
      </c>
      <c r="I42" s="59">
        <f t="shared" si="2"/>
        <v>462.30656933953804</v>
      </c>
    </row>
    <row r="43" spans="4:9">
      <c r="D43" s="58">
        <f t="shared" si="6"/>
        <v>38</v>
      </c>
      <c r="E43" s="58">
        <f t="shared" si="6"/>
        <v>38</v>
      </c>
      <c r="F43" s="59">
        <f t="shared" si="4"/>
        <v>5314.7055435212014</v>
      </c>
      <c r="G43" s="59">
        <f t="shared" si="0"/>
        <v>26.573527717606009</v>
      </c>
      <c r="H43" s="59">
        <f t="shared" si="1"/>
        <v>435.73304162193205</v>
      </c>
      <c r="I43" s="59">
        <f t="shared" si="2"/>
        <v>462.30656933953804</v>
      </c>
    </row>
    <row r="44" spans="4:9">
      <c r="D44" s="58">
        <f t="shared" si="6"/>
        <v>39</v>
      </c>
      <c r="E44" s="58">
        <f t="shared" si="6"/>
        <v>39</v>
      </c>
      <c r="F44" s="59">
        <f t="shared" si="4"/>
        <v>4878.9725018992694</v>
      </c>
      <c r="G44" s="59">
        <f t="shared" si="0"/>
        <v>24.394862509496349</v>
      </c>
      <c r="H44" s="59">
        <f t="shared" si="1"/>
        <v>437.91170683004168</v>
      </c>
      <c r="I44" s="59">
        <f t="shared" si="2"/>
        <v>462.30656933953804</v>
      </c>
    </row>
    <row r="45" spans="4:9">
      <c r="D45" s="58">
        <f t="shared" si="6"/>
        <v>40</v>
      </c>
      <c r="E45" s="58">
        <f t="shared" si="6"/>
        <v>40</v>
      </c>
      <c r="F45" s="59">
        <f t="shared" si="4"/>
        <v>4441.0607950692274</v>
      </c>
      <c r="G45" s="59">
        <f t="shared" si="0"/>
        <v>22.205303975346137</v>
      </c>
      <c r="H45" s="59">
        <f t="shared" si="1"/>
        <v>440.10126536419193</v>
      </c>
      <c r="I45" s="59">
        <f t="shared" si="2"/>
        <v>462.30656933953804</v>
      </c>
    </row>
    <row r="46" spans="4:9">
      <c r="D46" s="58">
        <f t="shared" si="6"/>
        <v>41</v>
      </c>
      <c r="E46" s="58">
        <f t="shared" si="6"/>
        <v>41</v>
      </c>
      <c r="F46" s="59">
        <f t="shared" si="4"/>
        <v>4000.9595297050355</v>
      </c>
      <c r="G46" s="59">
        <f t="shared" si="0"/>
        <v>20.004797648525177</v>
      </c>
      <c r="H46" s="59">
        <f t="shared" si="1"/>
        <v>442.30177169101285</v>
      </c>
      <c r="I46" s="59">
        <f t="shared" si="2"/>
        <v>462.30656933953804</v>
      </c>
    </row>
    <row r="47" spans="4:9">
      <c r="D47" s="58">
        <f t="shared" si="6"/>
        <v>42</v>
      </c>
      <c r="E47" s="58">
        <f t="shared" si="6"/>
        <v>42</v>
      </c>
      <c r="F47" s="59">
        <f t="shared" si="4"/>
        <v>3558.6577580140229</v>
      </c>
      <c r="G47" s="59">
        <f t="shared" si="0"/>
        <v>17.793288790070115</v>
      </c>
      <c r="H47" s="59">
        <f t="shared" si="1"/>
        <v>444.51328054946794</v>
      </c>
      <c r="I47" s="59">
        <f t="shared" si="2"/>
        <v>462.30656933953804</v>
      </c>
    </row>
    <row r="48" spans="4:9">
      <c r="D48" s="58">
        <f t="shared" si="6"/>
        <v>43</v>
      </c>
      <c r="E48" s="58">
        <f t="shared" si="6"/>
        <v>43</v>
      </c>
      <c r="F48" s="59">
        <f t="shared" si="4"/>
        <v>3114.1444774645552</v>
      </c>
      <c r="G48" s="59">
        <f t="shared" si="0"/>
        <v>15.570722387322776</v>
      </c>
      <c r="H48" s="59">
        <f t="shared" si="1"/>
        <v>446.73584695221524</v>
      </c>
      <c r="I48" s="59">
        <f t="shared" si="2"/>
        <v>462.30656933953804</v>
      </c>
    </row>
    <row r="49" spans="4:9">
      <c r="D49" s="58">
        <f t="shared" si="6"/>
        <v>44</v>
      </c>
      <c r="E49" s="58">
        <f t="shared" si="6"/>
        <v>44</v>
      </c>
      <c r="F49" s="59">
        <f t="shared" si="4"/>
        <v>2667.4086305123401</v>
      </c>
      <c r="G49" s="59">
        <f t="shared" si="0"/>
        <v>13.337043152561701</v>
      </c>
      <c r="H49" s="59">
        <f t="shared" si="1"/>
        <v>448.96952618697634</v>
      </c>
      <c r="I49" s="59">
        <f t="shared" si="2"/>
        <v>462.30656933953804</v>
      </c>
    </row>
    <row r="50" spans="4:9">
      <c r="D50" s="58">
        <f t="shared" si="6"/>
        <v>45</v>
      </c>
      <c r="E50" s="58">
        <f t="shared" si="6"/>
        <v>45</v>
      </c>
      <c r="F50" s="59">
        <f t="shared" si="4"/>
        <v>2218.4391043253636</v>
      </c>
      <c r="G50" s="59">
        <f t="shared" si="0"/>
        <v>11.092195521626818</v>
      </c>
      <c r="H50" s="59">
        <f t="shared" si="1"/>
        <v>451.21437381791122</v>
      </c>
      <c r="I50" s="59">
        <f t="shared" si="2"/>
        <v>462.30656933953804</v>
      </c>
    </row>
    <row r="51" spans="4:9">
      <c r="D51" s="58">
        <f t="shared" si="6"/>
        <v>46</v>
      </c>
      <c r="E51" s="58">
        <f t="shared" si="6"/>
        <v>46</v>
      </c>
      <c r="F51" s="59">
        <f t="shared" si="4"/>
        <v>1767.2247305074525</v>
      </c>
      <c r="G51" s="59">
        <f t="shared" si="0"/>
        <v>8.8361236525372622</v>
      </c>
      <c r="H51" s="59">
        <f t="shared" si="1"/>
        <v>453.47044568700079</v>
      </c>
      <c r="I51" s="59">
        <f t="shared" si="2"/>
        <v>462.30656933953804</v>
      </c>
    </row>
    <row r="52" spans="4:9">
      <c r="D52" s="58">
        <f t="shared" si="6"/>
        <v>47</v>
      </c>
      <c r="E52" s="58">
        <f t="shared" si="6"/>
        <v>47</v>
      </c>
      <c r="F52" s="59">
        <f t="shared" si="4"/>
        <v>1313.7542848204516</v>
      </c>
      <c r="G52" s="59">
        <f t="shared" si="0"/>
        <v>6.5687714241022581</v>
      </c>
      <c r="H52" s="59">
        <f t="shared" si="1"/>
        <v>455.73779791543581</v>
      </c>
      <c r="I52" s="59">
        <f t="shared" si="2"/>
        <v>462.30656933953804</v>
      </c>
    </row>
    <row r="53" spans="4:9">
      <c r="D53" s="58">
        <f t="shared" si="6"/>
        <v>48</v>
      </c>
      <c r="E53" s="58">
        <f t="shared" si="6"/>
        <v>48</v>
      </c>
      <c r="F53" s="59">
        <f t="shared" si="4"/>
        <v>858.01648690501588</v>
      </c>
      <c r="G53" s="59">
        <f t="shared" si="0"/>
        <v>4.2900824345250799</v>
      </c>
      <c r="H53" s="59">
        <f t="shared" si="1"/>
        <v>458.01648690501298</v>
      </c>
      <c r="I53" s="59">
        <f t="shared" si="2"/>
        <v>462.30656933953804</v>
      </c>
    </row>
    <row r="54" spans="4:9">
      <c r="D54" s="58" t="s">
        <v>124</v>
      </c>
      <c r="E54" s="58">
        <f>+D53</f>
        <v>48</v>
      </c>
      <c r="F54" s="59">
        <f t="shared" si="4"/>
        <v>400.0000000000029</v>
      </c>
      <c r="G54" s="59">
        <f>IF(B9=0,0,F54*B7/B6)</f>
        <v>0</v>
      </c>
      <c r="H54" s="59">
        <f>+F54</f>
        <v>400.0000000000029</v>
      </c>
      <c r="I54" s="59">
        <f>+G54+H54</f>
        <v>400.0000000000029</v>
      </c>
    </row>
    <row r="55" spans="4:9">
      <c r="F55" s="65">
        <f>+F54-H54</f>
        <v>0</v>
      </c>
      <c r="G55" s="63">
        <f>+SUM(G6:G54)</f>
        <v>2590.7153282978338</v>
      </c>
      <c r="H55" s="63">
        <f>+SUM(H6:H54)</f>
        <v>20000</v>
      </c>
      <c r="I55" s="63">
        <f>+SUM(I6:I54)</f>
        <v>22590.715328297818</v>
      </c>
    </row>
  </sheetData>
  <mergeCells count="3">
    <mergeCell ref="A3:B3"/>
    <mergeCell ref="D3:E3"/>
    <mergeCell ref="F3:G3"/>
  </mergeCells>
  <dataValidations count="1">
    <dataValidation type="whole" allowBlank="1" showInputMessage="1" showErrorMessage="1" errorTitle="ATENÇÃO!" error="Nesta célula só pode inserir &quot;0&quot; ou &quot;1&quot;." sqref="B9" xr:uid="{00000000-0002-0000-0900-000000000000}">
      <formula1>0</formula1>
      <formula2>1</formula2>
    </dataValidation>
  </dataValidations>
  <pageMargins left="0.34" right="0.24" top="0.26" bottom="0.2" header="0.17" footer="0.17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Deslocamento</vt:lpstr>
      <vt:lpstr>LISTA SUSPENSAS</vt:lpstr>
      <vt:lpstr>Tabela de dados</vt:lpstr>
      <vt:lpstr>Cenários_objectivo</vt:lpstr>
      <vt:lpstr>Solucionador</vt:lpstr>
      <vt:lpstr>Exercício 22</vt:lpstr>
      <vt:lpstr>Exercício 23</vt:lpstr>
      <vt:lpstr>Exercício 24</vt:lpstr>
      <vt:lpstr>Exercício 25</vt:lpstr>
      <vt:lpstr>Exercício 26 a,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Bastos</dc:creator>
  <cp:lastModifiedBy>Nuno Bastos</cp:lastModifiedBy>
  <dcterms:created xsi:type="dcterms:W3CDTF">2018-11-12T15:29:58Z</dcterms:created>
  <dcterms:modified xsi:type="dcterms:W3CDTF">2020-11-05T14:16:47Z</dcterms:modified>
</cp:coreProperties>
</file>